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exandergruzdev/Desktop/Сайт/Гипермаркет бизнесов/ЗГПП_Кукуруза/"/>
    </mc:Choice>
  </mc:AlternateContent>
  <xr:revisionPtr revIDLastSave="0" documentId="13_ncr:1_{DE19284E-52B7-AB41-A48A-0A8449FAF685}" xr6:coauthVersionLast="36" xr6:coauthVersionMax="36" xr10:uidLastSave="{00000000-0000-0000-0000-000000000000}"/>
  <bookViews>
    <workbookView xWindow="16440" yWindow="500" windowWidth="27900" windowHeight="26640" tabRatio="891" activeTab="3" xr2:uid="{00000000-000D-0000-FFFF-FFFF00000000}"/>
  </bookViews>
  <sheets>
    <sheet name="0_Допущения" sheetId="41" r:id="rId1"/>
    <sheet name="1_Резюме" sheetId="143" r:id="rId2"/>
    <sheet name="2_Бюджет" sheetId="103" r:id="rId3"/>
    <sheet name="3_Здания" sheetId="104" r:id="rId4"/>
    <sheet name="4_ПСД" sheetId="106" r:id="rId5"/>
    <sheet name="5_Оборуд" sheetId="105" r:id="rId6"/>
    <sheet name="5-1_ЛК" sheetId="152" r:id="rId7"/>
    <sheet name="5-2_ЦГ" sheetId="151" r:id="rId8"/>
    <sheet name="5-3_Скв-ны" sheetId="155" r:id="rId9"/>
    <sheet name="6_МБ_ЛК_Ку-за" sheetId="119" r:id="rId10"/>
    <sheet name="7_Выручка" sheetId="92" r:id="rId11"/>
    <sheet name="8_Цены_ГП" sheetId="88" r:id="rId12"/>
    <sheet name="8-1_ЛК" sheetId="144" r:id="rId13"/>
    <sheet name="9_Пр-во" sheetId="69" r:id="rId14"/>
    <sheet name="10_К-ция_ЛК" sheetId="124" r:id="rId15"/>
    <sheet name="10-1_К-ция_ПП" sheetId="136" r:id="rId16"/>
    <sheet name="11_Цены_СиМ" sheetId="87" r:id="rId17"/>
    <sheet name="11-1_Ку-за" sheetId="146" r:id="rId18"/>
    <sheet name="12_ФОТ" sheetId="111" r:id="rId19"/>
    <sheet name="13_Пост. Расх." sheetId="72" r:id="rId20"/>
    <sheet name="14_ПР_дин" sheetId="61" r:id="rId21"/>
    <sheet name="15_Пер. Расх_дин" sheetId="140" r:id="rId22"/>
    <sheet name="16_Кредит" sheetId="64" r:id="rId23"/>
    <sheet name="17_ПДДС" sheetId="53" r:id="rId24"/>
    <sheet name="18_График" sheetId="98" r:id="rId25"/>
    <sheet name="19_Эффект" sheetId="65" r:id="rId26"/>
    <sheet name="Расх_дин" sheetId="93" state="hidden" r:id="rId27"/>
    <sheet name="Закуп_Зерна" sheetId="142" state="hidden" r:id="rId28"/>
    <sheet name="20_Tax" sheetId="82" r:id="rId29"/>
    <sheet name="20-1_НДС" sheetId="97" r:id="rId30"/>
    <sheet name="20-2_ЗиВН" sheetId="120" r:id="rId31"/>
    <sheet name="Курс" sheetId="79" state="hidden" r:id="rId32"/>
    <sheet name="21_РЗ" sheetId="62" r:id="rId33"/>
    <sheet name="22_Ам-ция" sheetId="95" r:id="rId34"/>
    <sheet name="23_Эл-Эн" sheetId="127" r:id="rId35"/>
    <sheet name="23-1_Град" sheetId="153" r:id="rId36"/>
    <sheet name="23-2_Комп-р" sheetId="128" r:id="rId37"/>
    <sheet name="23-3_Эл-Эн_Т" sheetId="125" r:id="rId38"/>
    <sheet name="23-4_4 ЦК" sheetId="145" r:id="rId39"/>
    <sheet name="24_Газ_Итог" sheetId="129" r:id="rId40"/>
    <sheet name="24-1_Газ_Склад" sheetId="130" r:id="rId41"/>
    <sheet name="24-2_Газ_Сушка" sheetId="150" r:id="rId42"/>
    <sheet name="24-5_Газ_Т" sheetId="121" r:id="rId43"/>
    <sheet name="25_Пар" sheetId="133" r:id="rId44"/>
    <sheet name="26_Отопление" sheetId="134" r:id="rId45"/>
    <sheet name="27_Вода" sheetId="131" r:id="rId46"/>
    <sheet name="28_Кан-ция" sheetId="135" r:id="rId47"/>
    <sheet name="28-1_Ливневка" sheetId="154" r:id="rId48"/>
    <sheet name="28-2_Хоз-быт" sheetId="132" r:id="rId49"/>
    <sheet name="29_Логистика" sheetId="156" r:id="rId50"/>
  </sheets>
  <externalReferences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</externalReferences>
  <definedNames>
    <definedName name="__M8" localSheetId="47">'28-1_Ливневка'!__M8</definedName>
    <definedName name="__M8">[0]!__M8</definedName>
    <definedName name="__M9" localSheetId="47">'28-1_Ливневка'!__M9</definedName>
    <definedName name="__M9">[0]!__M9</definedName>
    <definedName name="__Num2" localSheetId="15">#REF!</definedName>
    <definedName name="__Num2" localSheetId="21">#REF!</definedName>
    <definedName name="__Num2" localSheetId="46">#REF!</definedName>
    <definedName name="__Num2" localSheetId="47">#REF!</definedName>
    <definedName name="__Num2" localSheetId="7">#REF!</definedName>
    <definedName name="__Num2">#REF!</definedName>
    <definedName name="__SP1" localSheetId="15">[1]FES!#REF!</definedName>
    <definedName name="__SP1" localSheetId="21">[1]FES!#REF!</definedName>
    <definedName name="__SP1" localSheetId="46">[1]FES!#REF!</definedName>
    <definedName name="__SP1" localSheetId="7">[1]FES!#REF!</definedName>
    <definedName name="__SP1">[1]FES!#REF!</definedName>
    <definedName name="__SP10" localSheetId="15">[1]FES!#REF!</definedName>
    <definedName name="__SP10" localSheetId="21">[1]FES!#REF!</definedName>
    <definedName name="__SP10" localSheetId="46">[1]FES!#REF!</definedName>
    <definedName name="__SP10" localSheetId="7">[1]FES!#REF!</definedName>
    <definedName name="__SP10">[1]FES!#REF!</definedName>
    <definedName name="__SP11" localSheetId="15">[1]FES!#REF!</definedName>
    <definedName name="__SP11" localSheetId="21">[1]FES!#REF!</definedName>
    <definedName name="__SP11" localSheetId="46">[1]FES!#REF!</definedName>
    <definedName name="__SP11" localSheetId="7">[1]FES!#REF!</definedName>
    <definedName name="__SP11">[1]FES!#REF!</definedName>
    <definedName name="__SP12" localSheetId="15">[1]FES!#REF!</definedName>
    <definedName name="__SP12" localSheetId="21">[1]FES!#REF!</definedName>
    <definedName name="__SP12" localSheetId="46">[1]FES!#REF!</definedName>
    <definedName name="__SP12" localSheetId="7">[1]FES!#REF!</definedName>
    <definedName name="__SP12">[1]FES!#REF!</definedName>
    <definedName name="__SP13" localSheetId="15">[1]FES!#REF!</definedName>
    <definedName name="__SP13" localSheetId="21">[1]FES!#REF!</definedName>
    <definedName name="__SP13" localSheetId="46">[1]FES!#REF!</definedName>
    <definedName name="__SP13" localSheetId="7">[1]FES!#REF!</definedName>
    <definedName name="__SP13">[1]FES!#REF!</definedName>
    <definedName name="__SP14" localSheetId="15">[1]FES!#REF!</definedName>
    <definedName name="__SP14" localSheetId="21">[1]FES!#REF!</definedName>
    <definedName name="__SP14" localSheetId="46">[1]FES!#REF!</definedName>
    <definedName name="__SP14" localSheetId="7">[1]FES!#REF!</definedName>
    <definedName name="__SP14">[1]FES!#REF!</definedName>
    <definedName name="__SP15" localSheetId="15">[1]FES!#REF!</definedName>
    <definedName name="__SP15" localSheetId="21">[1]FES!#REF!</definedName>
    <definedName name="__SP15" localSheetId="46">[1]FES!#REF!</definedName>
    <definedName name="__SP15" localSheetId="7">[1]FES!#REF!</definedName>
    <definedName name="__SP15">[1]FES!#REF!</definedName>
    <definedName name="__SP16" localSheetId="15">[1]FES!#REF!</definedName>
    <definedName name="__SP16" localSheetId="21">[1]FES!#REF!</definedName>
    <definedName name="__SP16" localSheetId="46">[1]FES!#REF!</definedName>
    <definedName name="__SP16" localSheetId="7">[1]FES!#REF!</definedName>
    <definedName name="__SP16">[1]FES!#REF!</definedName>
    <definedName name="__SP17" localSheetId="15">[1]FES!#REF!</definedName>
    <definedName name="__SP17" localSheetId="21">[1]FES!#REF!</definedName>
    <definedName name="__SP17" localSheetId="46">[1]FES!#REF!</definedName>
    <definedName name="__SP17" localSheetId="7">[1]FES!#REF!</definedName>
    <definedName name="__SP17">[1]FES!#REF!</definedName>
    <definedName name="__SP18" localSheetId="15">[1]FES!#REF!</definedName>
    <definedName name="__SP18" localSheetId="21">[1]FES!#REF!</definedName>
    <definedName name="__SP18" localSheetId="46">[1]FES!#REF!</definedName>
    <definedName name="__SP18" localSheetId="7">[1]FES!#REF!</definedName>
    <definedName name="__SP18">[1]FES!#REF!</definedName>
    <definedName name="__SP19" localSheetId="15">[1]FES!#REF!</definedName>
    <definedName name="__SP19" localSheetId="21">[1]FES!#REF!</definedName>
    <definedName name="__SP19" localSheetId="46">[1]FES!#REF!</definedName>
    <definedName name="__SP19" localSheetId="7">[1]FES!#REF!</definedName>
    <definedName name="__SP19">[1]FES!#REF!</definedName>
    <definedName name="__SP2" localSheetId="15">[1]FES!#REF!</definedName>
    <definedName name="__SP2" localSheetId="21">[1]FES!#REF!</definedName>
    <definedName name="__SP2" localSheetId="46">[1]FES!#REF!</definedName>
    <definedName name="__SP2" localSheetId="7">[1]FES!#REF!</definedName>
    <definedName name="__SP2">[1]FES!#REF!</definedName>
    <definedName name="__SP20" localSheetId="15">[1]FES!#REF!</definedName>
    <definedName name="__SP20" localSheetId="21">[1]FES!#REF!</definedName>
    <definedName name="__SP20" localSheetId="46">[1]FES!#REF!</definedName>
    <definedName name="__SP20" localSheetId="7">[1]FES!#REF!</definedName>
    <definedName name="__SP20">[1]FES!#REF!</definedName>
    <definedName name="__SP3" localSheetId="15">[1]FES!#REF!</definedName>
    <definedName name="__SP3" localSheetId="21">[1]FES!#REF!</definedName>
    <definedName name="__SP3" localSheetId="46">[1]FES!#REF!</definedName>
    <definedName name="__SP3" localSheetId="7">[1]FES!#REF!</definedName>
    <definedName name="__SP3">[1]FES!#REF!</definedName>
    <definedName name="__SP4" localSheetId="15">[1]FES!#REF!</definedName>
    <definedName name="__SP4" localSheetId="21">[1]FES!#REF!</definedName>
    <definedName name="__SP4" localSheetId="46">[1]FES!#REF!</definedName>
    <definedName name="__SP4" localSheetId="7">[1]FES!#REF!</definedName>
    <definedName name="__SP4">[1]FES!#REF!</definedName>
    <definedName name="__SP5" localSheetId="15">[1]FES!#REF!</definedName>
    <definedName name="__SP5" localSheetId="21">[1]FES!#REF!</definedName>
    <definedName name="__SP5" localSheetId="46">[1]FES!#REF!</definedName>
    <definedName name="__SP5" localSheetId="7">[1]FES!#REF!</definedName>
    <definedName name="__SP5">[1]FES!#REF!</definedName>
    <definedName name="__SP7" localSheetId="15">[1]FES!#REF!</definedName>
    <definedName name="__SP7" localSheetId="21">[1]FES!#REF!</definedName>
    <definedName name="__SP7" localSheetId="46">[1]FES!#REF!</definedName>
    <definedName name="__SP7" localSheetId="7">[1]FES!#REF!</definedName>
    <definedName name="__SP7">[1]FES!#REF!</definedName>
    <definedName name="__SP8" localSheetId="15">[1]FES!#REF!</definedName>
    <definedName name="__SP8" localSheetId="21">[1]FES!#REF!</definedName>
    <definedName name="__SP8" localSheetId="46">[1]FES!#REF!</definedName>
    <definedName name="__SP8" localSheetId="7">[1]FES!#REF!</definedName>
    <definedName name="__SP8">[1]FES!#REF!</definedName>
    <definedName name="__SP9" localSheetId="15">[1]FES!#REF!</definedName>
    <definedName name="__SP9" localSheetId="21">[1]FES!#REF!</definedName>
    <definedName name="__SP9" localSheetId="46">[1]FES!#REF!</definedName>
    <definedName name="__SP9" localSheetId="7">[1]FES!#REF!</definedName>
    <definedName name="__SP9">[1]FES!#REF!</definedName>
    <definedName name="__xlnm.Print_Titles" localSheetId="14">#REF!</definedName>
    <definedName name="__xlnm.Print_Titles" localSheetId="15">#REF!</definedName>
    <definedName name="__xlnm.Print_Titles" localSheetId="21">#REF!</definedName>
    <definedName name="__xlnm.Print_Titles" localSheetId="33">#REF!</definedName>
    <definedName name="__xlnm.Print_Titles" localSheetId="46">#REF!</definedName>
    <definedName name="__xlnm.Print_Titles" localSheetId="7">#REF!</definedName>
    <definedName name="__xlnm.Print_Titles" localSheetId="11">#REF!</definedName>
    <definedName name="__xlnm.Print_Titles">#REF!</definedName>
    <definedName name="_xlnm._FilterDatabase" localSheetId="15" hidden="1">#REF!</definedName>
    <definedName name="_xlnm._FilterDatabase" localSheetId="18" hidden="1">'12_ФОТ'!$A$2:$D$68</definedName>
    <definedName name="_xlnm._FilterDatabase" localSheetId="21" hidden="1">#REF!</definedName>
    <definedName name="_xlnm._FilterDatabase" localSheetId="46" hidden="1">#REF!</definedName>
    <definedName name="_xlnm._FilterDatabase" localSheetId="7" hidden="1">#REF!</definedName>
    <definedName name="_xlnm._FilterDatabase" hidden="1">#REF!</definedName>
    <definedName name="_M8" localSheetId="47">'28-1_Ливневка'!_M8</definedName>
    <definedName name="_M8">[0]!_M8</definedName>
    <definedName name="_M9" localSheetId="47">'28-1_Ливневка'!_M9</definedName>
    <definedName name="_M9">[0]!_M9</definedName>
    <definedName name="_Num2" localSheetId="15">#REF!</definedName>
    <definedName name="_Num2" localSheetId="21">#REF!</definedName>
    <definedName name="_Num2" localSheetId="46">#REF!</definedName>
    <definedName name="_Num2" localSheetId="47">#REF!</definedName>
    <definedName name="_Num2" localSheetId="7">#REF!</definedName>
    <definedName name="_Num2">#REF!</definedName>
    <definedName name="_Sort" localSheetId="15" hidden="1">#REF!</definedName>
    <definedName name="_Sort" localSheetId="21" hidden="1">#REF!</definedName>
    <definedName name="_Sort" localSheetId="46" hidden="1">#REF!</definedName>
    <definedName name="_Sort" localSheetId="7" hidden="1">#REF!</definedName>
    <definedName name="_Sort" hidden="1">#REF!</definedName>
    <definedName name="_SP1" localSheetId="15">[2]FES!#REF!</definedName>
    <definedName name="_SP1" localSheetId="21">[2]FES!#REF!</definedName>
    <definedName name="_SP1" localSheetId="46">[2]FES!#REF!</definedName>
    <definedName name="_SP1" localSheetId="47">[2]FES!#REF!</definedName>
    <definedName name="_SP1" localSheetId="7">[2]FES!#REF!</definedName>
    <definedName name="_SP1">[2]FES!#REF!</definedName>
    <definedName name="_SP10" localSheetId="15">[2]FES!#REF!</definedName>
    <definedName name="_SP10" localSheetId="21">[2]FES!#REF!</definedName>
    <definedName name="_SP10" localSheetId="46">[2]FES!#REF!</definedName>
    <definedName name="_SP10" localSheetId="7">[2]FES!#REF!</definedName>
    <definedName name="_SP10">[2]FES!#REF!</definedName>
    <definedName name="_SP11" localSheetId="15">[2]FES!#REF!</definedName>
    <definedName name="_SP11" localSheetId="21">[2]FES!#REF!</definedName>
    <definedName name="_SP11" localSheetId="46">[2]FES!#REF!</definedName>
    <definedName name="_SP11" localSheetId="7">[2]FES!#REF!</definedName>
    <definedName name="_SP11">[2]FES!#REF!</definedName>
    <definedName name="_SP12" localSheetId="15">[2]FES!#REF!</definedName>
    <definedName name="_SP12" localSheetId="21">[2]FES!#REF!</definedName>
    <definedName name="_SP12" localSheetId="46">[2]FES!#REF!</definedName>
    <definedName name="_SP12" localSheetId="7">[2]FES!#REF!</definedName>
    <definedName name="_SP12">[2]FES!#REF!</definedName>
    <definedName name="_SP13" localSheetId="15">[2]FES!#REF!</definedName>
    <definedName name="_SP13" localSheetId="21">[2]FES!#REF!</definedName>
    <definedName name="_SP13" localSheetId="46">[2]FES!#REF!</definedName>
    <definedName name="_SP13" localSheetId="7">[2]FES!#REF!</definedName>
    <definedName name="_SP13">[2]FES!#REF!</definedName>
    <definedName name="_SP14" localSheetId="15">[2]FES!#REF!</definedName>
    <definedName name="_SP14" localSheetId="21">[2]FES!#REF!</definedName>
    <definedName name="_SP14" localSheetId="46">[2]FES!#REF!</definedName>
    <definedName name="_SP14" localSheetId="7">[2]FES!#REF!</definedName>
    <definedName name="_SP14">[2]FES!#REF!</definedName>
    <definedName name="_SP15" localSheetId="15">[2]FES!#REF!</definedName>
    <definedName name="_SP15" localSheetId="21">[2]FES!#REF!</definedName>
    <definedName name="_SP15" localSheetId="46">[2]FES!#REF!</definedName>
    <definedName name="_SP15" localSheetId="7">[2]FES!#REF!</definedName>
    <definedName name="_SP15">[2]FES!#REF!</definedName>
    <definedName name="_SP16" localSheetId="15">[2]FES!#REF!</definedName>
    <definedName name="_SP16" localSheetId="21">[2]FES!#REF!</definedName>
    <definedName name="_SP16" localSheetId="46">[2]FES!#REF!</definedName>
    <definedName name="_SP16" localSheetId="7">[2]FES!#REF!</definedName>
    <definedName name="_SP16">[2]FES!#REF!</definedName>
    <definedName name="_SP17" localSheetId="15">[2]FES!#REF!</definedName>
    <definedName name="_SP17" localSheetId="21">[2]FES!#REF!</definedName>
    <definedName name="_SP17" localSheetId="46">[2]FES!#REF!</definedName>
    <definedName name="_SP17" localSheetId="7">[2]FES!#REF!</definedName>
    <definedName name="_SP17">[2]FES!#REF!</definedName>
    <definedName name="_SP18" localSheetId="15">[2]FES!#REF!</definedName>
    <definedName name="_SP18" localSheetId="21">[2]FES!#REF!</definedName>
    <definedName name="_SP18" localSheetId="46">[2]FES!#REF!</definedName>
    <definedName name="_SP18" localSheetId="7">[2]FES!#REF!</definedName>
    <definedName name="_SP18">[2]FES!#REF!</definedName>
    <definedName name="_SP19" localSheetId="15">[2]FES!#REF!</definedName>
    <definedName name="_SP19" localSheetId="21">[2]FES!#REF!</definedName>
    <definedName name="_SP19" localSheetId="46">[2]FES!#REF!</definedName>
    <definedName name="_SP19" localSheetId="7">[2]FES!#REF!</definedName>
    <definedName name="_SP19">[2]FES!#REF!</definedName>
    <definedName name="_SP2" localSheetId="15">[2]FES!#REF!</definedName>
    <definedName name="_SP2" localSheetId="21">[2]FES!#REF!</definedName>
    <definedName name="_SP2" localSheetId="46">[2]FES!#REF!</definedName>
    <definedName name="_SP2" localSheetId="7">[2]FES!#REF!</definedName>
    <definedName name="_SP2">[2]FES!#REF!</definedName>
    <definedName name="_SP20" localSheetId="15">[2]FES!#REF!</definedName>
    <definedName name="_SP20" localSheetId="21">[2]FES!#REF!</definedName>
    <definedName name="_SP20" localSheetId="46">[2]FES!#REF!</definedName>
    <definedName name="_SP20" localSheetId="7">[2]FES!#REF!</definedName>
    <definedName name="_SP20">[2]FES!#REF!</definedName>
    <definedName name="_SP3" localSheetId="15">[2]FES!#REF!</definedName>
    <definedName name="_SP3" localSheetId="21">[2]FES!#REF!</definedName>
    <definedName name="_SP3" localSheetId="46">[2]FES!#REF!</definedName>
    <definedName name="_SP3" localSheetId="7">[2]FES!#REF!</definedName>
    <definedName name="_SP3">[2]FES!#REF!</definedName>
    <definedName name="_SP4" localSheetId="15">[2]FES!#REF!</definedName>
    <definedName name="_SP4" localSheetId="21">[2]FES!#REF!</definedName>
    <definedName name="_SP4" localSheetId="46">[2]FES!#REF!</definedName>
    <definedName name="_SP4" localSheetId="7">[2]FES!#REF!</definedName>
    <definedName name="_SP4">[2]FES!#REF!</definedName>
    <definedName name="_SP5" localSheetId="15">[2]FES!#REF!</definedName>
    <definedName name="_SP5" localSheetId="21">[2]FES!#REF!</definedName>
    <definedName name="_SP5" localSheetId="46">[2]FES!#REF!</definedName>
    <definedName name="_SP5" localSheetId="7">[2]FES!#REF!</definedName>
    <definedName name="_SP5">[2]FES!#REF!</definedName>
    <definedName name="_SP7" localSheetId="15">[2]FES!#REF!</definedName>
    <definedName name="_SP7" localSheetId="21">[2]FES!#REF!</definedName>
    <definedName name="_SP7" localSheetId="46">[2]FES!#REF!</definedName>
    <definedName name="_SP7" localSheetId="7">[2]FES!#REF!</definedName>
    <definedName name="_SP7">[2]FES!#REF!</definedName>
    <definedName name="_SP8" localSheetId="15">[2]FES!#REF!</definedName>
    <definedName name="_SP8" localSheetId="21">[2]FES!#REF!</definedName>
    <definedName name="_SP8" localSheetId="46">[2]FES!#REF!</definedName>
    <definedName name="_SP8" localSheetId="7">[2]FES!#REF!</definedName>
    <definedName name="_SP8">[2]FES!#REF!</definedName>
    <definedName name="_SP9" localSheetId="15">[2]FES!#REF!</definedName>
    <definedName name="_SP9" localSheetId="21">[2]FES!#REF!</definedName>
    <definedName name="_SP9" localSheetId="46">[2]FES!#REF!</definedName>
    <definedName name="_SP9" localSheetId="7">[2]FES!#REF!</definedName>
    <definedName name="_SP9">[2]FES!#REF!</definedName>
    <definedName name="\" localSheetId="47">'28-1_Ливневка'!\</definedName>
    <definedName name="\">[0]!\</definedName>
    <definedName name="\a" localSheetId="15">#REF!</definedName>
    <definedName name="\a" localSheetId="21">#REF!</definedName>
    <definedName name="\a" localSheetId="46">#REF!</definedName>
    <definedName name="\a" localSheetId="47">#REF!</definedName>
    <definedName name="\a" localSheetId="7">#REF!</definedName>
    <definedName name="\a">#REF!</definedName>
    <definedName name="\m" localSheetId="15">#REF!</definedName>
    <definedName name="\m" localSheetId="21">#REF!</definedName>
    <definedName name="\m" localSheetId="46">#REF!</definedName>
    <definedName name="\m" localSheetId="7">#REF!</definedName>
    <definedName name="\m">#REF!</definedName>
    <definedName name="\n" localSheetId="15">#REF!</definedName>
    <definedName name="\n" localSheetId="21">#REF!</definedName>
    <definedName name="\n" localSheetId="46">#REF!</definedName>
    <definedName name="\n" localSheetId="7">#REF!</definedName>
    <definedName name="\n">#REF!</definedName>
    <definedName name="\o" localSheetId="15">#REF!</definedName>
    <definedName name="\o" localSheetId="21">#REF!</definedName>
    <definedName name="\o" localSheetId="46">#REF!</definedName>
    <definedName name="\o" localSheetId="7">#REF!</definedName>
    <definedName name="\o">#REF!</definedName>
    <definedName name="ааа" localSheetId="47">'28-1_Ливневка'!ааа</definedName>
    <definedName name="ааа">[0]!ааа</definedName>
    <definedName name="АААААААА" localSheetId="47">'28-1_Ливневка'!АААААААА</definedName>
    <definedName name="АААААААА">[0]!АААААААА</definedName>
    <definedName name="абон.пл" localSheetId="47">'28-1_Ливневка'!абон.пл</definedName>
    <definedName name="абон.пл">[0]!абон.пл</definedName>
    <definedName name="авг" localSheetId="15">#REF!</definedName>
    <definedName name="авг" localSheetId="21">#REF!</definedName>
    <definedName name="авг" localSheetId="46">#REF!</definedName>
    <definedName name="авг" localSheetId="47">#REF!</definedName>
    <definedName name="авг" localSheetId="7">#REF!</definedName>
    <definedName name="авг">#REF!</definedName>
    <definedName name="авпвпва" localSheetId="47">'28-1_Ливневка'!авпвпва</definedName>
    <definedName name="авпвпва">[0]!авпвпва</definedName>
    <definedName name="авт" localSheetId="47">'28-1_Ливневка'!авт</definedName>
    <definedName name="авт">[0]!авт</definedName>
    <definedName name="ан" localSheetId="47">'28-1_Ливневка'!ан</definedName>
    <definedName name="ан">[0]!ан</definedName>
    <definedName name="анализ" localSheetId="47">'28-1_Ливневка'!анализ</definedName>
    <definedName name="анализ">[0]!анализ</definedName>
    <definedName name="ап" localSheetId="47">'28-1_Ливневка'!ап</definedName>
    <definedName name="ап">[0]!ап</definedName>
    <definedName name="аппр" localSheetId="47">'28-1_Ливневка'!аппр</definedName>
    <definedName name="аппр">[0]!аппр</definedName>
    <definedName name="апр" localSheetId="15">#REF!</definedName>
    <definedName name="апр" localSheetId="21">#REF!</definedName>
    <definedName name="апр" localSheetId="46">#REF!</definedName>
    <definedName name="апр" localSheetId="47">#REF!</definedName>
    <definedName name="апр" localSheetId="7">#REF!</definedName>
    <definedName name="апр">#REF!</definedName>
    <definedName name="Б" localSheetId="47">'28-1_Ливневка'!Б</definedName>
    <definedName name="Б">[0]!Б</definedName>
    <definedName name="БазовыйПериод">[3]Заголовок!$B$15</definedName>
    <definedName name="бб" localSheetId="47">'28-1_Ливневка'!бб</definedName>
    <definedName name="бб">[0]!бб</definedName>
    <definedName name="БС">[4]Справочники!$A$4:$A$6</definedName>
    <definedName name="в23ё" localSheetId="47">'28-1_Ливневка'!в23ё</definedName>
    <definedName name="в23ё">[0]!в23ё</definedName>
    <definedName name="вапит" localSheetId="47">'28-1_Ливневка'!вапит</definedName>
    <definedName name="вапит">[0]!вапит</definedName>
    <definedName name="вв" localSheetId="47">'28-1_Ливневка'!вв</definedName>
    <definedName name="вв">[0]!вв</definedName>
    <definedName name="восемь" localSheetId="15">#REF!</definedName>
    <definedName name="восемь" localSheetId="21">#REF!</definedName>
    <definedName name="восемь" localSheetId="46">#REF!</definedName>
    <definedName name="восемь" localSheetId="47">#REF!</definedName>
    <definedName name="восемь" localSheetId="7">#REF!</definedName>
    <definedName name="восемь">#REF!</definedName>
    <definedName name="вппи" localSheetId="47">'28-1_Ливневка'!вппи</definedName>
    <definedName name="вппи">[0]!вппи</definedName>
    <definedName name="ВТОП" localSheetId="15">#REF!</definedName>
    <definedName name="ВТОП" localSheetId="21">#REF!</definedName>
    <definedName name="ВТОП" localSheetId="46">#REF!</definedName>
    <definedName name="ВТОП" localSheetId="47">#REF!</definedName>
    <definedName name="ВТОП" localSheetId="7">#REF!</definedName>
    <definedName name="ВТОП">#REF!</definedName>
    <definedName name="второй" localSheetId="15">#REF!</definedName>
    <definedName name="второй" localSheetId="21">#REF!</definedName>
    <definedName name="второй" localSheetId="46">#REF!</definedName>
    <definedName name="второй" localSheetId="7">#REF!</definedName>
    <definedName name="второй">#REF!</definedName>
    <definedName name="вуув" localSheetId="47" hidden="1">{#N/A,#N/A,TRUE,"Лист1";#N/A,#N/A,TRUE,"Лист2";#N/A,#N/A,TRUE,"Лист3"}</definedName>
    <definedName name="вуув" hidden="1">{#N/A,#N/A,TRUE,"Лист1";#N/A,#N/A,TRUE,"Лист2";#N/A,#N/A,TRUE,"Лист3"}</definedName>
    <definedName name="год96" localSheetId="15">#REF!</definedName>
    <definedName name="год96" localSheetId="21">#REF!</definedName>
    <definedName name="год96" localSheetId="46">#REF!</definedName>
    <definedName name="год96" localSheetId="47">#REF!</definedName>
    <definedName name="год96" localSheetId="7">#REF!</definedName>
    <definedName name="год96">#REF!</definedName>
    <definedName name="год97">'[5]1997'!$A$1:$BD$138</definedName>
    <definedName name="год98">'[5]1998'!$A$1:$BD$138</definedName>
    <definedName name="грприрцфв00ав98" localSheetId="47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ы" localSheetId="15">#REF!</definedName>
    <definedName name="Группы" localSheetId="21">#REF!</definedName>
    <definedName name="Группы" localSheetId="46">#REF!</definedName>
    <definedName name="Группы" localSheetId="47">#REF!</definedName>
    <definedName name="Группы" localSheetId="7">#REF!</definedName>
    <definedName name="Группы">#REF!</definedName>
    <definedName name="грфинцкавг98Х" localSheetId="47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" localSheetId="47">'28-1_Ливневка'!д</definedName>
    <definedName name="д">[0]!д</definedName>
    <definedName name="дд" localSheetId="47">'28-1_Ливневка'!дд</definedName>
    <definedName name="дд">[0]!дд</definedName>
    <definedName name="дек" localSheetId="15">#REF!</definedName>
    <definedName name="дек" localSheetId="21">#REF!</definedName>
    <definedName name="дек" localSheetId="46">#REF!</definedName>
    <definedName name="дек" localSheetId="47">#REF!</definedName>
    <definedName name="дек" localSheetId="7">#REF!</definedName>
    <definedName name="дек">#REF!</definedName>
    <definedName name="ДиапазонЗащиты" localSheetId="15">#REF!,#REF!,#REF!,#REF!,[0]!P1_ДиапазонЗащиты,[0]!P2_ДиапазонЗащиты,[0]!P3_ДиапазонЗащиты,[0]!P4_ДиапазонЗащиты</definedName>
    <definedName name="ДиапазонЗащиты" localSheetId="21">#REF!,#REF!,#REF!,#REF!,[0]!P1_ДиапазонЗащиты,[0]!P2_ДиапазонЗащиты,[0]!P3_ДиапазонЗащиты,[0]!P4_ДиапазонЗащиты</definedName>
    <definedName name="ДиапазонЗащиты" localSheetId="46">#REF!,#REF!,#REF!,#REF!,[0]!P1_ДиапазонЗащиты,[0]!P2_ДиапазонЗащиты,[0]!P3_ДиапазонЗащиты,[0]!P4_ДиапазонЗащиты</definedName>
    <definedName name="ДиапазонЗащиты" localSheetId="47">#REF!,#REF!,#REF!,#REF!,[0]!P1_ДиапазонЗащиты,[0]!P2_ДиапазонЗащиты,[0]!P3_ДиапазонЗащиты,[0]!P4_ДиапазонЗащиты</definedName>
    <definedName name="ДиапазонЗащиты" localSheetId="7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минанта1">[6]Данные!$B$10</definedName>
    <definedName name="Доминанта2">[6]Данные!$B$24</definedName>
    <definedName name="доопатмо" localSheetId="47">'28-1_Ливневка'!доопатмо</definedName>
    <definedName name="доопатмо">[0]!доопатмо</definedName>
    <definedName name="ДРУГОЕ">[7]Справочники!$A$26:$A$28</definedName>
    <definedName name="ж" localSheetId="47">'28-1_Ливневка'!ж</definedName>
    <definedName name="ж">[0]!ж</definedName>
    <definedName name="жд" localSheetId="47">'28-1_Ливневка'!жд</definedName>
    <definedName name="жд">[0]!жд</definedName>
    <definedName name="жлдджл" localSheetId="47">'28-1_Ливневка'!жлдджл</definedName>
    <definedName name="жлдджл">[0]!жлдджл</definedName>
    <definedName name="_xlnm.Print_Titles" localSheetId="23">'17_ПДДС'!$A:$A</definedName>
    <definedName name="_xlnm.Print_Titles" localSheetId="10">'7_Выручка'!$B:$B</definedName>
    <definedName name="ЗП1">[8]Лист13!$A$2</definedName>
    <definedName name="ЗП2">[8]Лист13!$B$2</definedName>
    <definedName name="ЗП3">[8]Лист13!$C$2</definedName>
    <definedName name="ЗП4">[8]Лист13!$D$2</definedName>
    <definedName name="Извлечение_ИМ" localSheetId="15">#REF!</definedName>
    <definedName name="Извлечение_ИМ" localSheetId="21">#REF!</definedName>
    <definedName name="Извлечение_ИМ" localSheetId="46">#REF!</definedName>
    <definedName name="Извлечение_ИМ" localSheetId="47">#REF!</definedName>
    <definedName name="Извлечение_ИМ" localSheetId="7">#REF!</definedName>
    <definedName name="Извлечение_ИМ">#REF!</definedName>
    <definedName name="_xlnm.Extract" localSheetId="15">#REF!</definedName>
    <definedName name="_xlnm.Extract" localSheetId="21">#REF!</definedName>
    <definedName name="_xlnm.Extract" localSheetId="46">#REF!</definedName>
    <definedName name="_xlnm.Extract" localSheetId="7">#REF!</definedName>
    <definedName name="_xlnm.Extract">#REF!</definedName>
    <definedName name="индцкавг98" localSheetId="47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" localSheetId="15">#REF!</definedName>
    <definedName name="июл" localSheetId="21">#REF!</definedName>
    <definedName name="июл" localSheetId="46">#REF!</definedName>
    <definedName name="июл" localSheetId="47">#REF!</definedName>
    <definedName name="июл" localSheetId="7">#REF!</definedName>
    <definedName name="июл">#REF!</definedName>
    <definedName name="июн" localSheetId="15">#REF!</definedName>
    <definedName name="июн" localSheetId="21">#REF!</definedName>
    <definedName name="июн" localSheetId="46">#REF!</definedName>
    <definedName name="июн" localSheetId="7">#REF!</definedName>
    <definedName name="июн">#REF!</definedName>
    <definedName name="й" localSheetId="47">'28-1_Ливневка'!й</definedName>
    <definedName name="й">[0]!й</definedName>
    <definedName name="йй" localSheetId="47">'28-1_Ливневка'!йй</definedName>
    <definedName name="йй">[0]!йй</definedName>
    <definedName name="К1" localSheetId="15">#REF!</definedName>
    <definedName name="К1" localSheetId="21">#REF!</definedName>
    <definedName name="К1" localSheetId="46">#REF!</definedName>
    <definedName name="К1" localSheetId="47">#REF!</definedName>
    <definedName name="К1" localSheetId="7">#REF!</definedName>
    <definedName name="К1">#REF!</definedName>
    <definedName name="к2" localSheetId="15">#REF!</definedName>
    <definedName name="к2" localSheetId="21">#REF!</definedName>
    <definedName name="к2" localSheetId="46">#REF!</definedName>
    <definedName name="к2" localSheetId="7">#REF!</definedName>
    <definedName name="к2">#REF!</definedName>
    <definedName name="к3" localSheetId="15">#REF!</definedName>
    <definedName name="к3" localSheetId="21">#REF!</definedName>
    <definedName name="к3" localSheetId="46">#REF!</definedName>
    <definedName name="к3" localSheetId="7">#REF!</definedName>
    <definedName name="к3">#REF!</definedName>
    <definedName name="ке" localSheetId="47">'28-1_Ливневка'!ке</definedName>
    <definedName name="ке">[0]!ке</definedName>
    <definedName name="кеппппппппппп" localSheetId="47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нига1" localSheetId="47">'28-1_Ливневка'!Книга1</definedName>
    <definedName name="Книга1">[0]!Книга1</definedName>
    <definedName name="копия" localSheetId="47">'28-1_Ливневка'!копия</definedName>
    <definedName name="копия">[0]!копия</definedName>
    <definedName name="_xlnm.Criteria" localSheetId="15">#REF!</definedName>
    <definedName name="_xlnm.Criteria" localSheetId="21">#REF!</definedName>
    <definedName name="_xlnm.Criteria" localSheetId="46">#REF!</definedName>
    <definedName name="_xlnm.Criteria" localSheetId="47">#REF!</definedName>
    <definedName name="_xlnm.Criteria" localSheetId="7">#REF!</definedName>
    <definedName name="_xlnm.Criteria">#REF!</definedName>
    <definedName name="Критерии_ИМ" localSheetId="15">#REF!</definedName>
    <definedName name="Критерии_ИМ" localSheetId="21">#REF!</definedName>
    <definedName name="Критерии_ИМ" localSheetId="46">#REF!</definedName>
    <definedName name="Критерии_ИМ" localSheetId="7">#REF!</definedName>
    <definedName name="Критерии_ИМ">#REF!</definedName>
    <definedName name="критерий" localSheetId="15">#REF!</definedName>
    <definedName name="критерий" localSheetId="21">#REF!</definedName>
    <definedName name="критерий" localSheetId="46">#REF!</definedName>
    <definedName name="критерий" localSheetId="7">#REF!</definedName>
    <definedName name="критерий">#REF!</definedName>
    <definedName name="курс" localSheetId="14">#REF!</definedName>
    <definedName name="курс" localSheetId="15">#REF!</definedName>
    <definedName name="курс" localSheetId="21">#REF!</definedName>
    <definedName name="курс" localSheetId="22">#REF!</definedName>
    <definedName name="курс" localSheetId="33">#REF!</definedName>
    <definedName name="курс" localSheetId="46">#REF!</definedName>
    <definedName name="курс" localSheetId="7">#REF!</definedName>
    <definedName name="курс" localSheetId="11">#REF!</definedName>
    <definedName name="курс">#REF!</definedName>
    <definedName name="ла" localSheetId="47">'28-1_Ливневка'!ла</definedName>
    <definedName name="ла">[0]!ла</definedName>
    <definedName name="лара" localSheetId="47">'28-1_Ливневка'!лара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 localSheetId="47">'28-1_Ливневка'!лл</definedName>
    <definedName name="лл">[0]!лл</definedName>
    <definedName name="май" localSheetId="15">#REF!</definedName>
    <definedName name="май" localSheetId="21">#REF!</definedName>
    <definedName name="май" localSheetId="46">#REF!</definedName>
    <definedName name="май" localSheetId="47">#REF!</definedName>
    <definedName name="май" localSheetId="7">#REF!</definedName>
    <definedName name="май">#REF!</definedName>
    <definedName name="мар" localSheetId="15">#REF!</definedName>
    <definedName name="мар" localSheetId="21">#REF!</definedName>
    <definedName name="мар" localSheetId="46">#REF!</definedName>
    <definedName name="мар" localSheetId="7">#REF!</definedName>
    <definedName name="мар">#REF!</definedName>
    <definedName name="Маяк">[6]Данные!$B$52</definedName>
    <definedName name="мым" localSheetId="47">'28-1_Ливневка'!мым</definedName>
    <definedName name="мым">[0]!мым</definedName>
    <definedName name="ноя" localSheetId="15">#REF!</definedName>
    <definedName name="ноя" localSheetId="21">#REF!</definedName>
    <definedName name="ноя" localSheetId="46">#REF!</definedName>
    <definedName name="ноя" localSheetId="47">#REF!</definedName>
    <definedName name="ноя" localSheetId="7">#REF!</definedName>
    <definedName name="ноя">#REF!</definedName>
    <definedName name="НСРФ">[9]Регионы!$A$2:$A$88</definedName>
    <definedName name="НСРФ2">[10]Регионы!$A$2:$A$89</definedName>
    <definedName name="_xlnm.Print_Area" localSheetId="38">'23-4_4 ЦК'!#REF!</definedName>
    <definedName name="_xlnm.Print_Area" localSheetId="8">'5-3_Скв-ны'!$A$1:$F$59</definedName>
    <definedName name="_xlnm.Print_Area" localSheetId="27">Закуп_Зерна!$A$1:$O$12</definedName>
    <definedName name="_xlnm.Print_Area">#REF!</definedName>
    <definedName name="Общая" localSheetId="14">#REF!</definedName>
    <definedName name="Общая" localSheetId="15">#REF!</definedName>
    <definedName name="Общая" localSheetId="21">#REF!</definedName>
    <definedName name="Общая" localSheetId="22">#REF!</definedName>
    <definedName name="Общая" localSheetId="33">#REF!</definedName>
    <definedName name="Общая" localSheetId="46">#REF!</definedName>
    <definedName name="Общая" localSheetId="7">#REF!</definedName>
    <definedName name="Общая" localSheetId="11">#REF!</definedName>
    <definedName name="Общая">#REF!</definedName>
    <definedName name="окт" localSheetId="15">#REF!</definedName>
    <definedName name="окт" localSheetId="21">#REF!</definedName>
    <definedName name="окт" localSheetId="46">#REF!</definedName>
    <definedName name="окт" localSheetId="7">#REF!</definedName>
    <definedName name="окт">#REF!</definedName>
    <definedName name="олс" localSheetId="47">'28-1_Ливневка'!олс</definedName>
    <definedName name="олс">[0]!олс</definedName>
    <definedName name="ОРГ" localSheetId="15">#REF!</definedName>
    <definedName name="ОРГ" localSheetId="21">#REF!</definedName>
    <definedName name="ОРГ" localSheetId="46">#REF!</definedName>
    <definedName name="ОРГ" localSheetId="47">#REF!</definedName>
    <definedName name="ОРГ" localSheetId="7">#REF!</definedName>
    <definedName name="ОРГ">#REF!</definedName>
    <definedName name="ОРГ_ВО" localSheetId="15">#REF!</definedName>
    <definedName name="ОРГ_ВО" localSheetId="21">#REF!</definedName>
    <definedName name="ОРГ_ВО" localSheetId="46">#REF!</definedName>
    <definedName name="ОРГ_ВО" localSheetId="7">#REF!</definedName>
    <definedName name="ОРГ_ВО">#REF!</definedName>
    <definedName name="ОРГ_ВС" localSheetId="15">#REF!</definedName>
    <definedName name="ОРГ_ВС" localSheetId="21">#REF!</definedName>
    <definedName name="ОРГ_ВС" localSheetId="46">#REF!</definedName>
    <definedName name="ОРГ_ВС" localSheetId="7">#REF!</definedName>
    <definedName name="ОРГ_ВС">#REF!</definedName>
    <definedName name="ОРГ_ТС" localSheetId="15">#REF!</definedName>
    <definedName name="ОРГ_ТС" localSheetId="21">#REF!</definedName>
    <definedName name="ОРГ_ТС" localSheetId="46">#REF!</definedName>
    <definedName name="ОРГ_ТС" localSheetId="7">#REF!</definedName>
    <definedName name="ОРГ_ТС">#REF!</definedName>
    <definedName name="ОРГ_УО" localSheetId="15">#REF!</definedName>
    <definedName name="ОРГ_УО" localSheetId="21">#REF!</definedName>
    <definedName name="ОРГ_УО" localSheetId="46">#REF!</definedName>
    <definedName name="ОРГ_УО" localSheetId="7">#REF!</definedName>
    <definedName name="ОРГ_УО">#REF!</definedName>
    <definedName name="п_авг" localSheetId="15">#REF!</definedName>
    <definedName name="п_авг" localSheetId="21">#REF!</definedName>
    <definedName name="п_авг" localSheetId="46">#REF!</definedName>
    <definedName name="п_авг" localSheetId="7">#REF!</definedName>
    <definedName name="п_авг">#REF!</definedName>
    <definedName name="п_апр" localSheetId="15">#REF!</definedName>
    <definedName name="п_апр" localSheetId="21">#REF!</definedName>
    <definedName name="п_апр" localSheetId="46">#REF!</definedName>
    <definedName name="п_апр" localSheetId="7">#REF!</definedName>
    <definedName name="п_апр">#REF!</definedName>
    <definedName name="п_дек" localSheetId="15">#REF!</definedName>
    <definedName name="п_дек" localSheetId="21">#REF!</definedName>
    <definedName name="п_дек" localSheetId="46">#REF!</definedName>
    <definedName name="п_дек" localSheetId="7">#REF!</definedName>
    <definedName name="п_дек">#REF!</definedName>
    <definedName name="п_июл" localSheetId="15">#REF!</definedName>
    <definedName name="п_июл" localSheetId="21">#REF!</definedName>
    <definedName name="п_июл" localSheetId="46">#REF!</definedName>
    <definedName name="п_июл" localSheetId="7">#REF!</definedName>
    <definedName name="п_июл">#REF!</definedName>
    <definedName name="п_июн" localSheetId="15">#REF!</definedName>
    <definedName name="п_июн" localSheetId="21">#REF!</definedName>
    <definedName name="п_июн" localSheetId="46">#REF!</definedName>
    <definedName name="п_июн" localSheetId="7">#REF!</definedName>
    <definedName name="п_июн">#REF!</definedName>
    <definedName name="п_май" localSheetId="15">#REF!</definedName>
    <definedName name="п_май" localSheetId="21">#REF!</definedName>
    <definedName name="п_май" localSheetId="46">#REF!</definedName>
    <definedName name="п_май" localSheetId="7">#REF!</definedName>
    <definedName name="п_май">#REF!</definedName>
    <definedName name="п_мар" localSheetId="15">#REF!</definedName>
    <definedName name="п_мар" localSheetId="21">#REF!</definedName>
    <definedName name="п_мар" localSheetId="46">#REF!</definedName>
    <definedName name="п_мар" localSheetId="7">#REF!</definedName>
    <definedName name="п_мар">#REF!</definedName>
    <definedName name="п_ноя" localSheetId="15">#REF!</definedName>
    <definedName name="п_ноя" localSheetId="21">#REF!</definedName>
    <definedName name="п_ноя" localSheetId="46">#REF!</definedName>
    <definedName name="п_ноя" localSheetId="7">#REF!</definedName>
    <definedName name="п_ноя">#REF!</definedName>
    <definedName name="п_окт" localSheetId="15">#REF!</definedName>
    <definedName name="п_окт" localSheetId="21">#REF!</definedName>
    <definedName name="п_окт" localSheetId="46">#REF!</definedName>
    <definedName name="п_окт" localSheetId="7">#REF!</definedName>
    <definedName name="п_окт">#REF!</definedName>
    <definedName name="п_сен" localSheetId="15">#REF!</definedName>
    <definedName name="п_сен" localSheetId="21">#REF!</definedName>
    <definedName name="п_сен" localSheetId="46">#REF!</definedName>
    <definedName name="п_сен" localSheetId="7">#REF!</definedName>
    <definedName name="п_сен">#REF!</definedName>
    <definedName name="п_фев" localSheetId="15">#REF!</definedName>
    <definedName name="п_фев" localSheetId="21">#REF!</definedName>
    <definedName name="п_фев" localSheetId="46">#REF!</definedName>
    <definedName name="п_фев" localSheetId="7">#REF!</definedName>
    <definedName name="п_фев">#REF!</definedName>
    <definedName name="п_янв" localSheetId="15">#REF!</definedName>
    <definedName name="п_янв" localSheetId="21">#REF!</definedName>
    <definedName name="п_янв" localSheetId="46">#REF!</definedName>
    <definedName name="п_янв" localSheetId="7">#REF!</definedName>
    <definedName name="п_янв">#REF!</definedName>
    <definedName name="паыпыва" localSheetId="47">'28-1_Ливневка'!паыпыва</definedName>
    <definedName name="паыпыва">[0]!паыпыва</definedName>
    <definedName name="первый" localSheetId="15">#REF!</definedName>
    <definedName name="первый" localSheetId="21">#REF!</definedName>
    <definedName name="первый" localSheetId="46">#REF!</definedName>
    <definedName name="первый" localSheetId="47">#REF!</definedName>
    <definedName name="первый" localSheetId="7">#REF!</definedName>
    <definedName name="первый">#REF!</definedName>
    <definedName name="ПериодРегулирования">[3]Заголовок!$B$14</definedName>
    <definedName name="Периоды_18_2" localSheetId="15">'[11]18.2'!#REF!</definedName>
    <definedName name="Периоды_18_2" localSheetId="21">'[11]18.2'!#REF!</definedName>
    <definedName name="Периоды_18_2" localSheetId="46">'[11]18.2'!#REF!</definedName>
    <definedName name="Периоды_18_2" localSheetId="47">'[11]18.2'!#REF!</definedName>
    <definedName name="Периоды_18_2" localSheetId="7">'[11]18.2'!#REF!</definedName>
    <definedName name="Периоды_18_2">'[11]18.2'!#REF!</definedName>
    <definedName name="план" localSheetId="47">'28-1_Ливневка'!план</definedName>
    <definedName name="план">[0]!план</definedName>
    <definedName name="ПоследнийГод">[3]Заголовок!$B$16</definedName>
    <definedName name="ппорол" localSheetId="47">'28-1_Ливневка'!ппорол</definedName>
    <definedName name="ппорол">[0]!ппорол</definedName>
    <definedName name="прибыль3" localSheetId="47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рил" localSheetId="47">'28-1_Ливневка'!пририл</definedName>
    <definedName name="пририл">[0]!пририл</definedName>
    <definedName name="про" localSheetId="47">'28-1_Ливневка'!про</definedName>
    <definedName name="про">[0]!про</definedName>
    <definedName name="пром." localSheetId="47">'28-1_Ливневка'!пром.</definedName>
    <definedName name="пром.">[0]!пром.</definedName>
    <definedName name="проч" localSheetId="47">'28-1_Ливневка'!проч</definedName>
    <definedName name="проч">[0]!проч</definedName>
    <definedName name="проч.расх" localSheetId="47">'28-1_Ливневка'!проч.расх</definedName>
    <definedName name="проч.расх">[0]!проч.расх</definedName>
    <definedName name="прош_год" localSheetId="15">#REF!</definedName>
    <definedName name="прош_год" localSheetId="21">#REF!</definedName>
    <definedName name="прош_год" localSheetId="46">#REF!</definedName>
    <definedName name="прош_год" localSheetId="47">#REF!</definedName>
    <definedName name="прош_год" localSheetId="7">#REF!</definedName>
    <definedName name="прош_год">#REF!</definedName>
    <definedName name="пс" localSheetId="15">#REF!</definedName>
    <definedName name="пс" localSheetId="21">#REF!</definedName>
    <definedName name="пс" localSheetId="46">#REF!</definedName>
    <definedName name="пс" localSheetId="7">#REF!</definedName>
    <definedName name="пс">#REF!</definedName>
    <definedName name="ПЭ">[7]Справочники!$A$10:$A$12</definedName>
    <definedName name="р" localSheetId="47">'28-1_Ливневка'!р</definedName>
    <definedName name="р">[0]!р</definedName>
    <definedName name="расх" localSheetId="47">'28-1_Ливневка'!расх</definedName>
    <definedName name="расх">[0]!расх</definedName>
    <definedName name="РГК">[7]Справочники!$A$4:$A$4</definedName>
    <definedName name="РГРЭС" localSheetId="47">'28-1_Ливневка'!РГРЭС</definedName>
    <definedName name="РГРЭС">[0]!РГРЭС</definedName>
    <definedName name="рем" localSheetId="47">'28-1_Ливневка'!рем</definedName>
    <definedName name="рем">[0]!рем</definedName>
    <definedName name="рис1" localSheetId="47" hidden="1">{#N/A,#N/A,TRUE,"Лист1";#N/A,#N/A,TRUE,"Лист2";#N/A,#N/A,TRUE,"Лист3"}</definedName>
    <definedName name="рис1" hidden="1">{#N/A,#N/A,TRUE,"Лист1";#N/A,#N/A,TRUE,"Лист2";#N/A,#N/A,TRUE,"Лист3"}</definedName>
    <definedName name="ро" localSheetId="47">'28-1_Ливневка'!ро</definedName>
    <definedName name="ро">[0]!ро</definedName>
    <definedName name="с" localSheetId="47">'28-1_Ливневка'!с</definedName>
    <definedName name="с">[0]!с</definedName>
    <definedName name="с1" localSheetId="47">'28-1_Ливневка'!с1</definedName>
    <definedName name="с1">[0]!с1</definedName>
    <definedName name="сель" localSheetId="47">'28-1_Ливневка'!сель</definedName>
    <definedName name="сель">[0]!сель</definedName>
    <definedName name="сельск.хоз" localSheetId="47">'28-1_Ливневка'!сельск.хоз</definedName>
    <definedName name="сельск.хоз">[0]!сельск.хоз</definedName>
    <definedName name="семь" localSheetId="15">#REF!</definedName>
    <definedName name="семь" localSheetId="21">#REF!</definedName>
    <definedName name="семь" localSheetId="46">#REF!</definedName>
    <definedName name="семь" localSheetId="47">#REF!</definedName>
    <definedName name="семь" localSheetId="7">#REF!</definedName>
    <definedName name="семь">#REF!</definedName>
    <definedName name="сен" localSheetId="15">#REF!</definedName>
    <definedName name="сен" localSheetId="21">#REF!</definedName>
    <definedName name="сен" localSheetId="46">#REF!</definedName>
    <definedName name="сен" localSheetId="7">#REF!</definedName>
    <definedName name="сен">#REF!</definedName>
    <definedName name="сс" localSheetId="47">'28-1_Ливневка'!сс</definedName>
    <definedName name="сс">[0]!сс</definedName>
    <definedName name="сссс" localSheetId="47">'28-1_Ливневка'!сссс</definedName>
    <definedName name="сссс">[0]!сссс</definedName>
    <definedName name="ссы" localSheetId="47">'28-1_Ливневка'!ссы</definedName>
    <definedName name="ссы">[0]!ссы</definedName>
    <definedName name="ссы2" localSheetId="47">'28-1_Ливневка'!ссы2</definedName>
    <definedName name="ссы2">[0]!ссы2</definedName>
    <definedName name="Сomi" localSheetId="47">'28-1_Ливневка'!Сomi</definedName>
    <definedName name="Сomi">[0]!Сomi</definedName>
    <definedName name="Т7_тепло" localSheetId="47">'28-1_Ливневка'!Т7_тепло</definedName>
    <definedName name="Т7_тепло">[0]!Т7_тепло</definedName>
    <definedName name="Таб.25" localSheetId="47">'28-1_Ливневка'!Таб.25</definedName>
    <definedName name="Таб.25">[0]!Таб.25</definedName>
    <definedName name="табл.2004" localSheetId="47">'28-1_Ливневка'!табл.2004</definedName>
    <definedName name="табл.2004">[0]!табл.2004</definedName>
    <definedName name="текмес" localSheetId="15">#REF!</definedName>
    <definedName name="текмес" localSheetId="21">#REF!</definedName>
    <definedName name="текмес" localSheetId="46">#REF!</definedName>
    <definedName name="текмес" localSheetId="47">#REF!</definedName>
    <definedName name="текмес" localSheetId="7">#REF!</definedName>
    <definedName name="текмес">#REF!</definedName>
    <definedName name="тепло" localSheetId="47">'28-1_Ливневка'!тепло</definedName>
    <definedName name="тепло">[0]!тепло</definedName>
    <definedName name="тов" localSheetId="47">'28-1_Ливневка'!тов</definedName>
    <definedName name="тов">[0]!тов</definedName>
    <definedName name="тп" localSheetId="47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15">#REF!</definedName>
    <definedName name="третий" localSheetId="21">#REF!</definedName>
    <definedName name="третий" localSheetId="46">#REF!</definedName>
    <definedName name="третий" localSheetId="47">#REF!</definedName>
    <definedName name="третий" localSheetId="7">#REF!</definedName>
    <definedName name="третий">#REF!</definedName>
    <definedName name="три" localSheetId="47">'28-1_Ливневка'!три</definedName>
    <definedName name="три">[0]!три</definedName>
    <definedName name="тыс." localSheetId="15">#REF!</definedName>
    <definedName name="тыс." localSheetId="21">#REF!</definedName>
    <definedName name="тыс." localSheetId="46">#REF!</definedName>
    <definedName name="тыс." localSheetId="47">#REF!</definedName>
    <definedName name="тыс." localSheetId="7">#REF!</definedName>
    <definedName name="тыс.">#REF!</definedName>
    <definedName name="ть" localSheetId="47">'28-1_Ливневка'!ть</definedName>
    <definedName name="ть">[0]!ть</definedName>
    <definedName name="у" localSheetId="47">'28-1_Ливневка'!у</definedName>
    <definedName name="у">[0]!у</definedName>
    <definedName name="УГОЛЬ">[7]Справочники!$A$19:$A$21</definedName>
    <definedName name="ук" localSheetId="47">'28-1_Ливневка'!ук</definedName>
    <definedName name="ук">[0]!ук</definedName>
    <definedName name="укеееукеееееееееееееее" localSheetId="47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47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15">#REF!</definedName>
    <definedName name="фев" localSheetId="21">#REF!</definedName>
    <definedName name="фев" localSheetId="46">#REF!</definedName>
    <definedName name="фев" localSheetId="47">#REF!</definedName>
    <definedName name="фев" localSheetId="7">#REF!</definedName>
    <definedName name="фев">#REF!</definedName>
    <definedName name="ФСК">'[12]4_ЦК_до 10 мВт'!$F$310</definedName>
    <definedName name="ц" localSheetId="47">'28-1_Ливневка'!ц</definedName>
    <definedName name="ц">[0]!ц</definedName>
    <definedName name="Цбр">'[13]5_ЦК'!$K$302</definedName>
    <definedName name="ЦП1" localSheetId="15">#REF!</definedName>
    <definedName name="ЦП1" localSheetId="21">#REF!</definedName>
    <definedName name="ЦП1" localSheetId="46">#REF!</definedName>
    <definedName name="ЦП1" localSheetId="47">#REF!</definedName>
    <definedName name="ЦП1" localSheetId="7">#REF!</definedName>
    <definedName name="ЦП1">#REF!</definedName>
    <definedName name="ЦП2" localSheetId="15">#REF!</definedName>
    <definedName name="ЦП2" localSheetId="21">#REF!</definedName>
    <definedName name="ЦП2" localSheetId="46">#REF!</definedName>
    <definedName name="ЦП2" localSheetId="7">#REF!</definedName>
    <definedName name="ЦП2">#REF!</definedName>
    <definedName name="ЦП3" localSheetId="15">#REF!</definedName>
    <definedName name="ЦП3" localSheetId="21">#REF!</definedName>
    <definedName name="ЦП3" localSheetId="46">#REF!</definedName>
    <definedName name="ЦП3" localSheetId="7">#REF!</definedName>
    <definedName name="ЦП3">#REF!</definedName>
    <definedName name="ЦП4" localSheetId="15">#REF!</definedName>
    <definedName name="ЦП4" localSheetId="21">#REF!</definedName>
    <definedName name="ЦП4" localSheetId="46">#REF!</definedName>
    <definedName name="ЦП4" localSheetId="7">#REF!</definedName>
    <definedName name="ЦП4">#REF!</definedName>
    <definedName name="Црсв">'[13]5_ЦК'!$K$298</definedName>
    <definedName name="цу" localSheetId="14">#REF!</definedName>
    <definedName name="цу" localSheetId="15">#REF!</definedName>
    <definedName name="цу" localSheetId="21">#REF!</definedName>
    <definedName name="цу" localSheetId="22">#REF!</definedName>
    <definedName name="цу" localSheetId="33">#REF!</definedName>
    <definedName name="цу" localSheetId="46">#REF!</definedName>
    <definedName name="цу" localSheetId="7">#REF!</definedName>
    <definedName name="цу" localSheetId="11">#REF!</definedName>
    <definedName name="цу">#REF!</definedName>
    <definedName name="четвертый" localSheetId="15">#REF!</definedName>
    <definedName name="четвертый" localSheetId="21">#REF!</definedName>
    <definedName name="четвертый" localSheetId="46">#REF!</definedName>
    <definedName name="четвертый" localSheetId="7">#REF!</definedName>
    <definedName name="четвертый">#REF!</definedName>
    <definedName name="Шапка">'[13]1_ЦК'!$A$2</definedName>
    <definedName name="шир_дан" localSheetId="15">#REF!</definedName>
    <definedName name="шир_дан" localSheetId="21">#REF!</definedName>
    <definedName name="шир_дан" localSheetId="46">#REF!</definedName>
    <definedName name="шир_дан" localSheetId="47">#REF!</definedName>
    <definedName name="шир_дан" localSheetId="7">#REF!</definedName>
    <definedName name="шир_дан">#REF!</definedName>
    <definedName name="шир_отч" localSheetId="15">#REF!</definedName>
    <definedName name="шир_отч" localSheetId="21">#REF!</definedName>
    <definedName name="шир_отч" localSheetId="46">#REF!</definedName>
    <definedName name="шир_отч" localSheetId="7">#REF!</definedName>
    <definedName name="шир_отч">#REF!</definedName>
    <definedName name="Шувалово">'[14]Ш.О. для К.Д.'!$B$11</definedName>
    <definedName name="щ" localSheetId="47">'28-1_Ливневка'!щ</definedName>
    <definedName name="щ">[0]!щ</definedName>
    <definedName name="ыв" localSheetId="47">'28-1_Ливневка'!ыв</definedName>
    <definedName name="ыв">[0]!ыв</definedName>
    <definedName name="ывы" localSheetId="47">'28-1_Ливневка'!ывы</definedName>
    <definedName name="ывы">[0]!ывы</definedName>
    <definedName name="ыуаы" localSheetId="47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47">'28-1_Ливневка'!ыыыы</definedName>
    <definedName name="ыыыы">[0]!ыыыы</definedName>
    <definedName name="янв" localSheetId="15">#REF!</definedName>
    <definedName name="янв" localSheetId="21">#REF!</definedName>
    <definedName name="янв" localSheetId="46">#REF!</definedName>
    <definedName name="янв" localSheetId="47">#REF!</definedName>
    <definedName name="янв" localSheetId="7">#REF!</definedName>
    <definedName name="янв">#REF!</definedName>
    <definedName name="Ярославский">[6]Данные!$B$38</definedName>
    <definedName name="a" localSheetId="47">'28-1_Ливневка'!a</definedName>
    <definedName name="a">[0]!a</definedName>
    <definedName name="aa" localSheetId="47">'28-1_Ливневка'!aa</definedName>
    <definedName name="aa">[0]!aa</definedName>
    <definedName name="aaa" localSheetId="47">'28-1_Ливневка'!aaa</definedName>
    <definedName name="aaa">[0]!aaa</definedName>
    <definedName name="AI_Version" localSheetId="14">[15]Options!$B$5</definedName>
    <definedName name="AI_Version" localSheetId="15">[15]Options!$B$5</definedName>
    <definedName name="AI_Version" localSheetId="16">[15]Options!$B$5</definedName>
    <definedName name="AI_Version" localSheetId="18">[15]Options!$B$5</definedName>
    <definedName name="AI_Version" localSheetId="23">[16]Options!$B$5</definedName>
    <definedName name="AI_Version" localSheetId="28">[15]Options!$B$5</definedName>
    <definedName name="AI_Version" localSheetId="33">[17]Options!$B$5</definedName>
    <definedName name="AI_Version" localSheetId="35">[15]Options!$B$5</definedName>
    <definedName name="AI_Version" localSheetId="9">[15]Options!$B$5</definedName>
    <definedName name="AI_Version" localSheetId="11">[15]Options!$B$5</definedName>
    <definedName name="AI_Version">[18]Options!$B$5</definedName>
    <definedName name="b" localSheetId="47">'28-1_Ливневка'!b</definedName>
    <definedName name="b">[0]!b</definedName>
    <definedName name="bb" localSheetId="47">'28-1_Ливневка'!bb</definedName>
    <definedName name="bb">[0]!bb</definedName>
    <definedName name="bnvn" localSheetId="47">'28-1_Ливневка'!bnvn</definedName>
    <definedName name="bnvn">[0]!bnvn</definedName>
    <definedName name="CalcMethod" localSheetId="14">[15]Проект!$B$77</definedName>
    <definedName name="CalcMethod" localSheetId="15">[15]Проект!$B$77</definedName>
    <definedName name="CalcMethod" localSheetId="16">[15]Проект!$B$77</definedName>
    <definedName name="CalcMethod" localSheetId="18">[15]Проект!$B$77</definedName>
    <definedName name="CalcMethod" localSheetId="23">[16]Проект!$B$77</definedName>
    <definedName name="CalcMethod" localSheetId="28">[15]Проект!$B$77</definedName>
    <definedName name="CalcMethod" localSheetId="33">[17]Проект!$B$77</definedName>
    <definedName name="CalcMethod" localSheetId="35">[15]Проект!$B$77</definedName>
    <definedName name="CalcMethod" localSheetId="9">[15]Проект!$B$77</definedName>
    <definedName name="CalcMethod" localSheetId="11">[15]Проект!$B$77</definedName>
    <definedName name="CalcMethod">[18]Проект!$B$77</definedName>
    <definedName name="CompOt" localSheetId="47">'28-1_Ливневка'!CompOt</definedName>
    <definedName name="CompOt">[0]!CompOt</definedName>
    <definedName name="CompRas" localSheetId="47">'28-1_Ливневка'!CompRas</definedName>
    <definedName name="CompRas">[0]!CompRas</definedName>
    <definedName name="Contents" localSheetId="15">#REF!</definedName>
    <definedName name="Contents" localSheetId="21">#REF!</definedName>
    <definedName name="Contents" localSheetId="46">#REF!</definedName>
    <definedName name="Contents" localSheetId="47">#REF!</definedName>
    <definedName name="Contents" localSheetId="7">#REF!</definedName>
    <definedName name="Contents">#REF!</definedName>
    <definedName name="cross" localSheetId="14">#REF!</definedName>
    <definedName name="cross" localSheetId="15">#REF!</definedName>
    <definedName name="cross" localSheetId="21">#REF!</definedName>
    <definedName name="cross" localSheetId="22">#REF!</definedName>
    <definedName name="cross" localSheetId="33">#REF!</definedName>
    <definedName name="cross" localSheetId="46">#REF!</definedName>
    <definedName name="cross" localSheetId="7">#REF!</definedName>
    <definedName name="cross" localSheetId="11">#REF!</definedName>
    <definedName name="cross">#REF!</definedName>
    <definedName name="crosss" localSheetId="14">#REF!</definedName>
    <definedName name="crosss" localSheetId="15">#REF!</definedName>
    <definedName name="crosss" localSheetId="21">#REF!</definedName>
    <definedName name="crosss" localSheetId="22">#REF!</definedName>
    <definedName name="crosss" localSheetId="33">#REF!</definedName>
    <definedName name="crosss" localSheetId="46">#REF!</definedName>
    <definedName name="crosss" localSheetId="7">#REF!</definedName>
    <definedName name="crosss" localSheetId="11">#REF!</definedName>
    <definedName name="crosss">#REF!</definedName>
    <definedName name="CUR_VER">[19]Заголовок!$B$21</definedName>
    <definedName name="CurName1" localSheetId="18">[20]Параметры!$B$42</definedName>
    <definedName name="CurName1" localSheetId="35">[20]Параметры!$B$42</definedName>
    <definedName name="CurName1" localSheetId="48">[21]Параметры!$B$42</definedName>
    <definedName name="CurName1" localSheetId="9">[21]Параметры!$B$42</definedName>
    <definedName name="CurName1">[22]Параметры!$B$42</definedName>
    <definedName name="CurName2" localSheetId="18">[20]Параметры!$B$52</definedName>
    <definedName name="CurName2" localSheetId="35">[20]Параметры!$B$52</definedName>
    <definedName name="CurName2" localSheetId="48">[21]Параметры!$B$52</definedName>
    <definedName name="CurName2" localSheetId="9">[21]Параметры!$B$52</definedName>
    <definedName name="CurName2">[22]Параметры!$B$52</definedName>
    <definedName name="CurName3" localSheetId="18">[20]Параметры!$B$58</definedName>
    <definedName name="CurName3" localSheetId="35">[20]Параметры!$B$58</definedName>
    <definedName name="CurName3" localSheetId="48">[21]Параметры!$B$58</definedName>
    <definedName name="CurName3" localSheetId="9">[21]Параметры!$B$58</definedName>
    <definedName name="CurName3">[22]Параметры!$B$58</definedName>
    <definedName name="cvx" localSheetId="47">'28-1_Ливневка'!cvx</definedName>
    <definedName name="cvx">[0]!cvx</definedName>
    <definedName name="d" localSheetId="15">#REF!</definedName>
    <definedName name="d" localSheetId="21">#REF!</definedName>
    <definedName name="d" localSheetId="46">#REF!</definedName>
    <definedName name="d" localSheetId="47">#REF!</definedName>
    <definedName name="d" localSheetId="7">#REF!</definedName>
    <definedName name="d">#REF!</definedName>
    <definedName name="dasfdf" localSheetId="47">'28-1_Ливневка'!dasfdf</definedName>
    <definedName name="dasfdf">[0]!dasfdf</definedName>
    <definedName name="dd" localSheetId="47">'28-1_Ливневка'!dd</definedName>
    <definedName name="dd">[0]!dd</definedName>
    <definedName name="dip" localSheetId="47">[23]FST5!$G$149:$G$165,P1_dip,P2_dip,P3_dip,P4_dip</definedName>
    <definedName name="dip">[23]FST5!$G$149:$G$165,P1_dip,P2_dip,P3_dip,P4_dip</definedName>
    <definedName name="ds" localSheetId="47">'28-1_Ливневка'!ds</definedName>
    <definedName name="ds">[0]!ds</definedName>
    <definedName name="dsa" localSheetId="47">'28-1_Ливневка'!dsa</definedName>
    <definedName name="dsa">[0]!dsa</definedName>
    <definedName name="dsafads" localSheetId="47">'28-1_Ливневка'!dsafads</definedName>
    <definedName name="dsafads">[0]!dsafads</definedName>
    <definedName name="dui" localSheetId="47">'28-1_Ливневка'!dui</definedName>
    <definedName name="dui">[0]!dui</definedName>
    <definedName name="ee" localSheetId="15">#REF!</definedName>
    <definedName name="ee" localSheetId="21">#REF!</definedName>
    <definedName name="ee" localSheetId="46">#REF!</definedName>
    <definedName name="ee" localSheetId="47">#REF!</definedName>
    <definedName name="ee" localSheetId="7">#REF!</definedName>
    <definedName name="ee">#REF!</definedName>
    <definedName name="eso" localSheetId="47">[23]FST5!$G$149:$G$165,P1_eso</definedName>
    <definedName name="eso">[23]FST5!$G$149:$G$165,P1_eso</definedName>
    <definedName name="EUR" localSheetId="14">#REF!</definedName>
    <definedName name="EUR" localSheetId="15">#REF!</definedName>
    <definedName name="EUR" localSheetId="21">#REF!</definedName>
    <definedName name="EUR" localSheetId="22">#REF!</definedName>
    <definedName name="EUR" localSheetId="33">#REF!</definedName>
    <definedName name="EUR" localSheetId="46">#REF!</definedName>
    <definedName name="EUR" localSheetId="7">#REF!</definedName>
    <definedName name="EUR" localSheetId="11">#REF!</definedName>
    <definedName name="EUR">#REF!</definedName>
    <definedName name="ew" localSheetId="47">'28-1_Ливневка'!ew</definedName>
    <definedName name="ew">[0]!ew</definedName>
    <definedName name="ewrw" localSheetId="47">'28-1_Ливневка'!ewrw</definedName>
    <definedName name="ewrw">[0]!ewrw</definedName>
    <definedName name="Excel_BuiltIn_Print_Area_1" localSheetId="15">#REF!</definedName>
    <definedName name="Excel_BuiltIn_Print_Area_1" localSheetId="21">#REF!</definedName>
    <definedName name="Excel_BuiltIn_Print_Area_1" localSheetId="38">#REF!</definedName>
    <definedName name="Excel_BuiltIn_Print_Area_1" localSheetId="46">#REF!</definedName>
    <definedName name="Excel_BuiltIn_Print_Area_1" localSheetId="47">#REF!</definedName>
    <definedName name="Excel_BuiltIn_Print_Area_1" localSheetId="7">#REF!</definedName>
    <definedName name="Excel_BuiltIn_Print_Area_1">#REF!</definedName>
    <definedName name="Excel_BuiltIn_Print_Area_1_1" localSheetId="15">#REF!</definedName>
    <definedName name="Excel_BuiltIn_Print_Area_1_1" localSheetId="21">#REF!</definedName>
    <definedName name="Excel_BuiltIn_Print_Area_1_1" localSheetId="38">#REF!</definedName>
    <definedName name="Excel_BuiltIn_Print_Area_1_1" localSheetId="46">#REF!</definedName>
    <definedName name="Excel_BuiltIn_Print_Area_1_1" localSheetId="7">#REF!</definedName>
    <definedName name="Excel_BuiltIn_Print_Area_1_1">#REF!</definedName>
    <definedName name="Excel_BuiltIn_Print_Area_1_1_1" localSheetId="15">#REF!</definedName>
    <definedName name="Excel_BuiltIn_Print_Area_1_1_1" localSheetId="21">#REF!</definedName>
    <definedName name="Excel_BuiltIn_Print_Area_1_1_1" localSheetId="38">#REF!</definedName>
    <definedName name="Excel_BuiltIn_Print_Area_1_1_1" localSheetId="46">#REF!</definedName>
    <definedName name="Excel_BuiltIn_Print_Area_1_1_1" localSheetId="7">#REF!</definedName>
    <definedName name="Excel_BuiltIn_Print_Area_1_1_1">#REF!</definedName>
    <definedName name="f" localSheetId="15">#REF!</definedName>
    <definedName name="f" localSheetId="21">#REF!</definedName>
    <definedName name="f" localSheetId="46">#REF!</definedName>
    <definedName name="f" localSheetId="7">#REF!</definedName>
    <definedName name="f">#REF!</definedName>
    <definedName name="fdsf" localSheetId="47">'28-1_Ливневка'!fdsf</definedName>
    <definedName name="fdsf">[0]!fdsf</definedName>
    <definedName name="ff" localSheetId="47">'28-1_Ливневка'!ff</definedName>
    <definedName name="ff">[0]!ff</definedName>
    <definedName name="ffffffffff" localSheetId="47">'28-1_Ливневка'!ffffffffff</definedName>
    <definedName name="ffffffffff">[0]!ffffffffff</definedName>
    <definedName name="fg" localSheetId="47">'28-1_Ливневка'!fg</definedName>
    <definedName name="fg">[0]!fg</definedName>
    <definedName name="gfgfd" localSheetId="47">'28-1_Ливневка'!gfgfd</definedName>
    <definedName name="gfgfd">[0]!gfgfd</definedName>
    <definedName name="gg" localSheetId="47">'28-1_Ливневка'!gg</definedName>
    <definedName name="gg">[0]!gg</definedName>
    <definedName name="gh" localSheetId="47">'28-1_Ливневка'!gh</definedName>
    <definedName name="gh">[0]!gh</definedName>
    <definedName name="ghh" localSheetId="47">'28-1_Ливневка'!ghh</definedName>
    <definedName name="ghh">[0]!ghh</definedName>
    <definedName name="group" localSheetId="38">'23-4_4 ЦК'!#REF!</definedName>
    <definedName name="gtp" localSheetId="15">#REF!</definedName>
    <definedName name="gtp" localSheetId="21">#REF!</definedName>
    <definedName name="gtp" localSheetId="46">#REF!</definedName>
    <definedName name="gtp" localSheetId="47">#REF!</definedName>
    <definedName name="gtp" localSheetId="7">#REF!</definedName>
    <definedName name="gtp">#REF!</definedName>
    <definedName name="H?Address" localSheetId="15">#REF!</definedName>
    <definedName name="H?Address" localSheetId="21">#REF!</definedName>
    <definedName name="H?Address" localSheetId="46">#REF!</definedName>
    <definedName name="H?Address" localSheetId="7">#REF!</definedName>
    <definedName name="H?Address">#REF!</definedName>
    <definedName name="H?Description" localSheetId="15">#REF!</definedName>
    <definedName name="H?Description" localSheetId="21">#REF!</definedName>
    <definedName name="H?Description" localSheetId="46">#REF!</definedName>
    <definedName name="H?Description" localSheetId="7">#REF!</definedName>
    <definedName name="H?Description">#REF!</definedName>
    <definedName name="H?EntityName" localSheetId="15">#REF!</definedName>
    <definedName name="H?EntityName" localSheetId="21">#REF!</definedName>
    <definedName name="H?EntityName" localSheetId="46">#REF!</definedName>
    <definedName name="H?EntityName" localSheetId="7">#REF!</definedName>
    <definedName name="H?EntityName">#REF!</definedName>
    <definedName name="H?Name" localSheetId="15">#REF!</definedName>
    <definedName name="H?Name" localSheetId="21">#REF!</definedName>
    <definedName name="H?Name" localSheetId="46">#REF!</definedName>
    <definedName name="H?Name" localSheetId="7">#REF!</definedName>
    <definedName name="H?Name">#REF!</definedName>
    <definedName name="H?OKATO" localSheetId="15">#REF!</definedName>
    <definedName name="H?OKATO" localSheetId="21">#REF!</definedName>
    <definedName name="H?OKATO" localSheetId="46">#REF!</definedName>
    <definedName name="H?OKATO" localSheetId="7">#REF!</definedName>
    <definedName name="H?OKATO">#REF!</definedName>
    <definedName name="H?OKFS" localSheetId="15">#REF!</definedName>
    <definedName name="H?OKFS" localSheetId="21">#REF!</definedName>
    <definedName name="H?OKFS" localSheetId="46">#REF!</definedName>
    <definedName name="H?OKFS" localSheetId="7">#REF!</definedName>
    <definedName name="H?OKFS">#REF!</definedName>
    <definedName name="H?OKOGU" localSheetId="15">#REF!</definedName>
    <definedName name="H?OKOGU" localSheetId="21">#REF!</definedName>
    <definedName name="H?OKOGU" localSheetId="46">#REF!</definedName>
    <definedName name="H?OKOGU" localSheetId="7">#REF!</definedName>
    <definedName name="H?OKOGU">#REF!</definedName>
    <definedName name="H?OKONX" localSheetId="15">#REF!</definedName>
    <definedName name="H?OKONX" localSheetId="21">#REF!</definedName>
    <definedName name="H?OKONX" localSheetId="46">#REF!</definedName>
    <definedName name="H?OKONX" localSheetId="7">#REF!</definedName>
    <definedName name="H?OKONX">#REF!</definedName>
    <definedName name="H?OKOPF" localSheetId="15">#REF!</definedName>
    <definedName name="H?OKOPF" localSheetId="21">#REF!</definedName>
    <definedName name="H?OKOPF" localSheetId="46">#REF!</definedName>
    <definedName name="H?OKOPF" localSheetId="7">#REF!</definedName>
    <definedName name="H?OKOPF">#REF!</definedName>
    <definedName name="H?OKPO" localSheetId="15">#REF!</definedName>
    <definedName name="H?OKPO" localSheetId="21">#REF!</definedName>
    <definedName name="H?OKPO" localSheetId="46">#REF!</definedName>
    <definedName name="H?OKPO" localSheetId="7">#REF!</definedName>
    <definedName name="H?OKPO">#REF!</definedName>
    <definedName name="H?OKVD" localSheetId="15">#REF!</definedName>
    <definedName name="H?OKVD" localSheetId="21">#REF!</definedName>
    <definedName name="H?OKVD" localSheetId="46">#REF!</definedName>
    <definedName name="H?OKVD" localSheetId="7">#REF!</definedName>
    <definedName name="H?OKVD">#REF!</definedName>
    <definedName name="H?Table" localSheetId="15">#REF!</definedName>
    <definedName name="H?Table" localSheetId="21">#REF!</definedName>
    <definedName name="H?Table" localSheetId="46">#REF!</definedName>
    <definedName name="H?Table" localSheetId="7">#REF!</definedName>
    <definedName name="H?Table">#REF!</definedName>
    <definedName name="H?Title" localSheetId="15">#REF!</definedName>
    <definedName name="H?Title" localSheetId="21">#REF!</definedName>
    <definedName name="H?Title" localSheetId="46">#REF!</definedName>
    <definedName name="H?Title" localSheetId="7">#REF!</definedName>
    <definedName name="H?Title">#REF!</definedName>
    <definedName name="Helper_ТЭС_Котельные">[24]Справочники!$A$2:$A$4,[24]Справочники!$A$16:$A$18</definedName>
    <definedName name="hg" localSheetId="47">'28-1_Ливневка'!hg</definedName>
    <definedName name="hg">[0]!hg</definedName>
    <definedName name="hgj" localSheetId="47">'28-1_Ливневка'!hgj</definedName>
    <definedName name="hgj">[0]!hgj</definedName>
    <definedName name="hh" localSheetId="47">'28-1_Ливневка'!hh</definedName>
    <definedName name="hh">[0]!hh</definedName>
    <definedName name="IS_DEMO" localSheetId="14">[15]Options!$B$7</definedName>
    <definedName name="IS_DEMO" localSheetId="15">[15]Options!$B$7</definedName>
    <definedName name="IS_DEMO" localSheetId="16">[15]Options!$B$7</definedName>
    <definedName name="IS_DEMO" localSheetId="18">[15]Options!$B$7</definedName>
    <definedName name="IS_DEMO" localSheetId="23">[16]Options!$B$7</definedName>
    <definedName name="IS_DEMO" localSheetId="28">[15]Options!$B$7</definedName>
    <definedName name="IS_DEMO" localSheetId="33">[17]Options!$B$7</definedName>
    <definedName name="IS_DEMO" localSheetId="35">[15]Options!$B$7</definedName>
    <definedName name="IS_DEMO" localSheetId="9">[15]Options!$B$7</definedName>
    <definedName name="IS_DEMO" localSheetId="11">[15]Options!$B$7</definedName>
    <definedName name="IS_DEMO">[18]Options!$B$7</definedName>
    <definedName name="IS_ESTATE" localSheetId="14">[15]Options!$B$11</definedName>
    <definedName name="IS_ESTATE" localSheetId="15">[15]Options!$B$11</definedName>
    <definedName name="IS_ESTATE" localSheetId="16">[15]Options!$B$11</definedName>
    <definedName name="IS_ESTATE" localSheetId="18">[15]Options!$B$11</definedName>
    <definedName name="IS_ESTATE" localSheetId="23">[16]Options!$B$11</definedName>
    <definedName name="IS_ESTATE" localSheetId="28">[15]Options!$B$11</definedName>
    <definedName name="IS_ESTATE" localSheetId="33">[17]Options!$B$11</definedName>
    <definedName name="IS_ESTATE" localSheetId="35">[15]Options!$B$11</definedName>
    <definedName name="IS_ESTATE" localSheetId="9">[15]Options!$B$11</definedName>
    <definedName name="IS_ESTATE" localSheetId="11">[15]Options!$B$11</definedName>
    <definedName name="IS_ESTATE">[18]Options!$B$11</definedName>
    <definedName name="IS_SUMM" localSheetId="14">[15]Options!$B$10</definedName>
    <definedName name="IS_SUMM" localSheetId="15">[15]Options!$B$10</definedName>
    <definedName name="IS_SUMM" localSheetId="16">[15]Options!$B$10</definedName>
    <definedName name="IS_SUMM" localSheetId="18">[15]Options!$B$10</definedName>
    <definedName name="IS_SUMM" localSheetId="23">[16]Options!$B$10</definedName>
    <definedName name="IS_SUMM" localSheetId="28">[15]Options!$B$10</definedName>
    <definedName name="IS_SUMM" localSheetId="33">[17]Options!$B$10</definedName>
    <definedName name="IS_SUMM" localSheetId="35">[15]Options!$B$10</definedName>
    <definedName name="IS_SUMM" localSheetId="9">[15]Options!$B$10</definedName>
    <definedName name="IS_SUMM" localSheetId="11">[15]Options!$B$10</definedName>
    <definedName name="IS_SUMM">[18]Options!$B$10</definedName>
    <definedName name="IS_TRIAL" localSheetId="14">[15]Options!$B$8</definedName>
    <definedName name="IS_TRIAL" localSheetId="15">[15]Options!$B$8</definedName>
    <definedName name="IS_TRIAL" localSheetId="16">[15]Options!$B$8</definedName>
    <definedName name="IS_TRIAL" localSheetId="18">[15]Options!$B$8</definedName>
    <definedName name="IS_TRIAL" localSheetId="23">[16]Options!$B$8</definedName>
    <definedName name="IS_TRIAL" localSheetId="28">[15]Options!$B$8</definedName>
    <definedName name="IS_TRIAL" localSheetId="33">[17]Options!$B$8</definedName>
    <definedName name="IS_TRIAL" localSheetId="35">[15]Options!$B$8</definedName>
    <definedName name="IS_TRIAL" localSheetId="9">[15]Options!$B$8</definedName>
    <definedName name="IS_TRIAL" localSheetId="11">[15]Options!$B$8</definedName>
    <definedName name="IS_TRIAL">[18]Options!$B$8</definedName>
    <definedName name="isOV" localSheetId="38">'23-4_4 ЦК'!#REF!</definedName>
    <definedName name="jkh" localSheetId="47">'28-1_Ливневка'!jkh</definedName>
    <definedName name="jkh">[0]!jkh</definedName>
    <definedName name="k" localSheetId="47">'28-1_Ливневка'!k</definedName>
    <definedName name="k">[0]!k</definedName>
    <definedName name="ka" localSheetId="47">'28-1_Ливневка'!ka</definedName>
    <definedName name="ka">[0]!ka</definedName>
    <definedName name="LanguageID" localSheetId="14">[15]Language!$A$2</definedName>
    <definedName name="LanguageID" localSheetId="15">[15]Language!$A$2</definedName>
    <definedName name="LanguageID" localSheetId="16">[15]Language!$A$2</definedName>
    <definedName name="LanguageID" localSheetId="18">[15]Language!$A$2</definedName>
    <definedName name="LanguageID" localSheetId="23">[16]Language!$A$2</definedName>
    <definedName name="LanguageID" localSheetId="28">[15]Language!$A$2</definedName>
    <definedName name="LanguageID" localSheetId="33">[17]Language!$A$2</definedName>
    <definedName name="LanguageID" localSheetId="35">[15]Language!$A$2</definedName>
    <definedName name="LanguageID" localSheetId="9">[15]Language!$A$2</definedName>
    <definedName name="LanguageID" localSheetId="11">[15]Language!$A$2</definedName>
    <definedName name="LanguageID">[18]Language!$A$2</definedName>
    <definedName name="m" localSheetId="47">'28-1_Ливневка'!m</definedName>
    <definedName name="m">[0]!m</definedName>
    <definedName name="n" localSheetId="47">'28-1_Ливневка'!n</definedName>
    <definedName name="n">[0]!n</definedName>
    <definedName name="net" localSheetId="47">[23]FST5!$G$100:$G$116,P1_net</definedName>
    <definedName name="net">[23]FST5!$G$100:$G$116,P1_net</definedName>
    <definedName name="NSRF" localSheetId="15">[25]Первоначально!#REF!</definedName>
    <definedName name="NSRF" localSheetId="21">[25]Первоначально!#REF!</definedName>
    <definedName name="NSRF" localSheetId="46">[25]Первоначально!#REF!</definedName>
    <definedName name="NSRF" localSheetId="47">[25]Первоначально!#REF!</definedName>
    <definedName name="NSRF" localSheetId="7">[25]Первоначально!#REF!</definedName>
    <definedName name="NSRF">[25]Первоначально!#REF!</definedName>
    <definedName name="Num">[9]Регионы!$C$24:$C$123</definedName>
    <definedName name="o" localSheetId="47">'28-1_Ливневка'!o</definedName>
    <definedName name="o">[0]!o</definedName>
    <definedName name="oi" localSheetId="47">'28-1_Ливневка'!oi</definedName>
    <definedName name="oi">[0]!oi</definedName>
    <definedName name="Opt_IsDemo" localSheetId="18">[20]Options!$B$15</definedName>
    <definedName name="Opt_IsDemo" localSheetId="35">[20]Options!$B$15</definedName>
    <definedName name="Opt_IsDemo" localSheetId="48">[21]Options!$B$15</definedName>
    <definedName name="Opt_IsDemo" localSheetId="9">[21]Options!$B$15</definedName>
    <definedName name="Opt_IsDemo">[22]Options!$B$15</definedName>
    <definedName name="Opt_Version" localSheetId="18">[20]Options!$B$8</definedName>
    <definedName name="Opt_Version" localSheetId="35">[20]Options!$B$8</definedName>
    <definedName name="Opt_Version" localSheetId="48">[21]Options!$B$8</definedName>
    <definedName name="Opt_Version" localSheetId="9">[21]Options!$B$8</definedName>
    <definedName name="Opt_Version">[22]Options!$B$8</definedName>
    <definedName name="ORE">[26]TEHSHEET!$G$16:$G$138</definedName>
    <definedName name="otop" localSheetId="47">'28-1_Ливневка'!otop</definedName>
    <definedName name="otop">[0]!otop</definedName>
    <definedName name="P1_dip" hidden="1">[23]FST5!$G$167:$G$172,[23]FST5!$G$174:$G$175,[23]FST5!$G$177:$G$180,[23]FST5!$G$182,[23]FST5!$G$184:$G$188,[23]FST5!$G$190,[23]FST5!$G$192:$G$194</definedName>
    <definedName name="P1_eso" hidden="1">[23]FST5!$G$167:$G$172,[23]FST5!$G$174:$G$175,[23]FST5!$G$177:$G$180,[23]FST5!$G$182,[23]FST5!$G$184:$G$188,[23]FST5!$G$190,[23]FST5!$G$192:$G$194</definedName>
    <definedName name="P1_net" hidden="1">[23]FST5!$G$118:$G$123,[23]FST5!$G$125:$G$126,[23]FST5!$G$128:$G$131,[23]FST5!$G$133,[23]FST5!$G$135:$G$139,[23]FST5!$G$141,[23]FST5!$G$143:$G$145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?axis?ПРД2?2005" localSheetId="15" hidden="1">#REF!,#REF!,#REF!,#REF!,#REF!,#REF!,#REF!</definedName>
    <definedName name="P1_T1?axis?ПРД2?2005" localSheetId="21" hidden="1">#REF!,#REF!,#REF!,#REF!,#REF!,#REF!,#REF!</definedName>
    <definedName name="P1_T1?axis?ПРД2?2005" localSheetId="46" hidden="1">#REF!,#REF!,#REF!,#REF!,#REF!,#REF!,#REF!</definedName>
    <definedName name="P1_T1?axis?ПРД2?2005" localSheetId="7" hidden="1">#REF!,#REF!,#REF!,#REF!,#REF!,#REF!,#REF!</definedName>
    <definedName name="P1_T1?axis?ПРД2?2005" hidden="1">#REF!,#REF!,#REF!,#REF!,#REF!,#REF!,#REF!</definedName>
    <definedName name="P1_T1?axis?ПРД2?2006" localSheetId="15" hidden="1">#REF!,#REF!,#REF!,#REF!,#REF!,#REF!,#REF!</definedName>
    <definedName name="P1_T1?axis?ПРД2?2006" localSheetId="21" hidden="1">#REF!,#REF!,#REF!,#REF!,#REF!,#REF!,#REF!</definedName>
    <definedName name="P1_T1?axis?ПРД2?2006" localSheetId="46" hidden="1">#REF!,#REF!,#REF!,#REF!,#REF!,#REF!,#REF!</definedName>
    <definedName name="P1_T1?axis?ПРД2?2006" localSheetId="7" hidden="1">#REF!,#REF!,#REF!,#REF!,#REF!,#REF!,#REF!</definedName>
    <definedName name="P1_T1?axis?ПРД2?2006" hidden="1">#REF!,#REF!,#REF!,#REF!,#REF!,#REF!,#REF!</definedName>
    <definedName name="P1_T1?Data" localSheetId="15" hidden="1">#REF!,#REF!,#REF!,#REF!,#REF!,#REF!,#REF!</definedName>
    <definedName name="P1_T1?Data" localSheetId="21" hidden="1">#REF!,#REF!,#REF!,#REF!,#REF!,#REF!,#REF!</definedName>
    <definedName name="P1_T1?Data" localSheetId="46" hidden="1">#REF!,#REF!,#REF!,#REF!,#REF!,#REF!,#REF!</definedName>
    <definedName name="P1_T1?Data" localSheetId="7" hidden="1">#REF!,#REF!,#REF!,#REF!,#REF!,#REF!,#REF!</definedName>
    <definedName name="P1_T1?Data" hidden="1">#REF!,#REF!,#REF!,#REF!,#REF!,#REF!,#REF!</definedName>
    <definedName name="P1_T1?Fuel_type" localSheetId="15" hidden="1">#REF!,#REF!,#REF!,#REF!,#REF!,#REF!,#REF!,#REF!,#REF!,#REF!,#REF!</definedName>
    <definedName name="P1_T1?Fuel_type" localSheetId="21" hidden="1">#REF!,#REF!,#REF!,#REF!,#REF!,#REF!,#REF!,#REF!,#REF!,#REF!,#REF!</definedName>
    <definedName name="P1_T1?Fuel_type" localSheetId="46" hidden="1">#REF!,#REF!,#REF!,#REF!,#REF!,#REF!,#REF!,#REF!,#REF!,#REF!,#REF!</definedName>
    <definedName name="P1_T1?Fuel_type" localSheetId="7" hidden="1">#REF!,#REF!,#REF!,#REF!,#REF!,#REF!,#REF!,#REF!,#REF!,#REF!,#REF!</definedName>
    <definedName name="P1_T1?Fuel_type" hidden="1">#REF!,#REF!,#REF!,#REF!,#REF!,#REF!,#REF!,#REF!,#REF!,#REF!,#REF!</definedName>
    <definedName name="P1_T1?L1.1.1" localSheetId="15" hidden="1">#REF!,#REF!,#REF!,#REF!,#REF!,#REF!,#REF!</definedName>
    <definedName name="P1_T1?L1.1.1" localSheetId="21" hidden="1">#REF!,#REF!,#REF!,#REF!,#REF!,#REF!,#REF!</definedName>
    <definedName name="P1_T1?L1.1.1" localSheetId="46" hidden="1">#REF!,#REF!,#REF!,#REF!,#REF!,#REF!,#REF!</definedName>
    <definedName name="P1_T1?L1.1.1" localSheetId="7" hidden="1">#REF!,#REF!,#REF!,#REF!,#REF!,#REF!,#REF!</definedName>
    <definedName name="P1_T1?L1.1.1" hidden="1">#REF!,#REF!,#REF!,#REF!,#REF!,#REF!,#REF!</definedName>
    <definedName name="P1_T1?L1.1.1.1" localSheetId="15" hidden="1">#REF!,#REF!,#REF!,#REF!,#REF!,#REF!,#REF!</definedName>
    <definedName name="P1_T1?L1.1.1.1" localSheetId="21" hidden="1">#REF!,#REF!,#REF!,#REF!,#REF!,#REF!,#REF!</definedName>
    <definedName name="P1_T1?L1.1.1.1" localSheetId="46" hidden="1">#REF!,#REF!,#REF!,#REF!,#REF!,#REF!,#REF!</definedName>
    <definedName name="P1_T1?L1.1.1.1" localSheetId="7" hidden="1">#REF!,#REF!,#REF!,#REF!,#REF!,#REF!,#REF!</definedName>
    <definedName name="P1_T1?L1.1.1.1" hidden="1">#REF!,#REF!,#REF!,#REF!,#REF!,#REF!,#REF!</definedName>
    <definedName name="P1_T1?L1.1.2" localSheetId="15" hidden="1">#REF!,#REF!,#REF!,#REF!,#REF!,#REF!,#REF!</definedName>
    <definedName name="P1_T1?L1.1.2" localSheetId="21" hidden="1">#REF!,#REF!,#REF!,#REF!,#REF!,#REF!,#REF!</definedName>
    <definedName name="P1_T1?L1.1.2" localSheetId="46" hidden="1">#REF!,#REF!,#REF!,#REF!,#REF!,#REF!,#REF!</definedName>
    <definedName name="P1_T1?L1.1.2" localSheetId="7" hidden="1">#REF!,#REF!,#REF!,#REF!,#REF!,#REF!,#REF!</definedName>
    <definedName name="P1_T1?L1.1.2" hidden="1">#REF!,#REF!,#REF!,#REF!,#REF!,#REF!,#REF!</definedName>
    <definedName name="P1_T1?L1.1.2.1" localSheetId="15" hidden="1">#REF!,#REF!,#REF!,#REF!,#REF!,#REF!,#REF!</definedName>
    <definedName name="P1_T1?L1.1.2.1" localSheetId="21" hidden="1">#REF!,#REF!,#REF!,#REF!,#REF!,#REF!,#REF!</definedName>
    <definedName name="P1_T1?L1.1.2.1" localSheetId="46" hidden="1">#REF!,#REF!,#REF!,#REF!,#REF!,#REF!,#REF!</definedName>
    <definedName name="P1_T1?L1.1.2.1" localSheetId="7" hidden="1">#REF!,#REF!,#REF!,#REF!,#REF!,#REF!,#REF!</definedName>
    <definedName name="P1_T1?L1.1.2.1" hidden="1">#REF!,#REF!,#REF!,#REF!,#REF!,#REF!,#REF!</definedName>
    <definedName name="P1_T1?L1.1.2.1.1" localSheetId="15" hidden="1">#REF!,#REF!,#REF!,#REF!,#REF!,#REF!,#REF!</definedName>
    <definedName name="P1_T1?L1.1.2.1.1" localSheetId="21" hidden="1">#REF!,#REF!,#REF!,#REF!,#REF!,#REF!,#REF!</definedName>
    <definedName name="P1_T1?L1.1.2.1.1" localSheetId="46" hidden="1">#REF!,#REF!,#REF!,#REF!,#REF!,#REF!,#REF!</definedName>
    <definedName name="P1_T1?L1.1.2.1.1" localSheetId="7" hidden="1">#REF!,#REF!,#REF!,#REF!,#REF!,#REF!,#REF!</definedName>
    <definedName name="P1_T1?L1.1.2.1.1" hidden="1">#REF!,#REF!,#REF!,#REF!,#REF!,#REF!,#REF!</definedName>
    <definedName name="P1_T1?L1.1.2.1.2" localSheetId="15" hidden="1">#REF!,#REF!,#REF!,#REF!,#REF!,#REF!,#REF!</definedName>
    <definedName name="P1_T1?L1.1.2.1.2" localSheetId="21" hidden="1">#REF!,#REF!,#REF!,#REF!,#REF!,#REF!,#REF!</definedName>
    <definedName name="P1_T1?L1.1.2.1.2" localSheetId="46" hidden="1">#REF!,#REF!,#REF!,#REF!,#REF!,#REF!,#REF!</definedName>
    <definedName name="P1_T1?L1.1.2.1.2" localSheetId="7" hidden="1">#REF!,#REF!,#REF!,#REF!,#REF!,#REF!,#REF!</definedName>
    <definedName name="P1_T1?L1.1.2.1.2" hidden="1">#REF!,#REF!,#REF!,#REF!,#REF!,#REF!,#REF!</definedName>
    <definedName name="P1_T1?L1.1.2.1.3" localSheetId="15" hidden="1">#REF!,#REF!,#REF!,#REF!,#REF!,#REF!,#REF!</definedName>
    <definedName name="P1_T1?L1.1.2.1.3" localSheetId="21" hidden="1">#REF!,#REF!,#REF!,#REF!,#REF!,#REF!,#REF!</definedName>
    <definedName name="P1_T1?L1.1.2.1.3" localSheetId="46" hidden="1">#REF!,#REF!,#REF!,#REF!,#REF!,#REF!,#REF!</definedName>
    <definedName name="P1_T1?L1.1.2.1.3" localSheetId="7" hidden="1">#REF!,#REF!,#REF!,#REF!,#REF!,#REF!,#REF!</definedName>
    <definedName name="P1_T1?L1.1.2.1.3" hidden="1">#REF!,#REF!,#REF!,#REF!,#REF!,#REF!,#REF!</definedName>
    <definedName name="P1_T1?L1.1.2.2" localSheetId="15" hidden="1">#REF!,#REF!,#REF!,#REF!,#REF!,#REF!,#REF!</definedName>
    <definedName name="P1_T1?L1.1.2.2" localSheetId="21" hidden="1">#REF!,#REF!,#REF!,#REF!,#REF!,#REF!,#REF!</definedName>
    <definedName name="P1_T1?L1.1.2.2" localSheetId="46" hidden="1">#REF!,#REF!,#REF!,#REF!,#REF!,#REF!,#REF!</definedName>
    <definedName name="P1_T1?L1.1.2.2" localSheetId="7" hidden="1">#REF!,#REF!,#REF!,#REF!,#REF!,#REF!,#REF!</definedName>
    <definedName name="P1_T1?L1.1.2.2" hidden="1">#REF!,#REF!,#REF!,#REF!,#REF!,#REF!,#REF!</definedName>
    <definedName name="P1_T1?L1.1.2.3" localSheetId="15" hidden="1">#REF!,#REF!,#REF!,#REF!,#REF!,#REF!,#REF!</definedName>
    <definedName name="P1_T1?L1.1.2.3" localSheetId="21" hidden="1">#REF!,#REF!,#REF!,#REF!,#REF!,#REF!,#REF!</definedName>
    <definedName name="P1_T1?L1.1.2.3" localSheetId="46" hidden="1">#REF!,#REF!,#REF!,#REF!,#REF!,#REF!,#REF!</definedName>
    <definedName name="P1_T1?L1.1.2.3" localSheetId="7" hidden="1">#REF!,#REF!,#REF!,#REF!,#REF!,#REF!,#REF!</definedName>
    <definedName name="P1_T1?L1.1.2.3" hidden="1">#REF!,#REF!,#REF!,#REF!,#REF!,#REF!,#REF!</definedName>
    <definedName name="P1_T1?L1.1.2.4" localSheetId="15" hidden="1">#REF!,#REF!,#REF!,#REF!,#REF!,#REF!,#REF!</definedName>
    <definedName name="P1_T1?L1.1.2.4" localSheetId="21" hidden="1">#REF!,#REF!,#REF!,#REF!,#REF!,#REF!,#REF!</definedName>
    <definedName name="P1_T1?L1.1.2.4" localSheetId="46" hidden="1">#REF!,#REF!,#REF!,#REF!,#REF!,#REF!,#REF!</definedName>
    <definedName name="P1_T1?L1.1.2.4" localSheetId="7" hidden="1">#REF!,#REF!,#REF!,#REF!,#REF!,#REF!,#REF!</definedName>
    <definedName name="P1_T1?L1.1.2.4" hidden="1">#REF!,#REF!,#REF!,#REF!,#REF!,#REF!,#REF!</definedName>
    <definedName name="P1_T1?L1.1.2.5" localSheetId="15" hidden="1">#REF!,#REF!,#REF!,#REF!,#REF!,#REF!,#REF!</definedName>
    <definedName name="P1_T1?L1.1.2.5" localSheetId="21" hidden="1">#REF!,#REF!,#REF!,#REF!,#REF!,#REF!,#REF!</definedName>
    <definedName name="P1_T1?L1.1.2.5" localSheetId="46" hidden="1">#REF!,#REF!,#REF!,#REF!,#REF!,#REF!,#REF!</definedName>
    <definedName name="P1_T1?L1.1.2.5" localSheetId="7" hidden="1">#REF!,#REF!,#REF!,#REF!,#REF!,#REF!,#REF!</definedName>
    <definedName name="P1_T1?L1.1.2.5" hidden="1">#REF!,#REF!,#REF!,#REF!,#REF!,#REF!,#REF!</definedName>
    <definedName name="P1_T1?L1.1.2.6" localSheetId="15" hidden="1">#REF!,#REF!,#REF!,#REF!,#REF!,#REF!,#REF!</definedName>
    <definedName name="P1_T1?L1.1.2.6" localSheetId="21" hidden="1">#REF!,#REF!,#REF!,#REF!,#REF!,#REF!,#REF!</definedName>
    <definedName name="P1_T1?L1.1.2.6" localSheetId="46" hidden="1">#REF!,#REF!,#REF!,#REF!,#REF!,#REF!,#REF!</definedName>
    <definedName name="P1_T1?L1.1.2.6" localSheetId="7" hidden="1">#REF!,#REF!,#REF!,#REF!,#REF!,#REF!,#REF!</definedName>
    <definedName name="P1_T1?L1.1.2.6" hidden="1">#REF!,#REF!,#REF!,#REF!,#REF!,#REF!,#REF!</definedName>
    <definedName name="P1_T1?L1.1.2.7" localSheetId="15" hidden="1">#REF!,#REF!,#REF!,#REF!,#REF!,#REF!,#REF!</definedName>
    <definedName name="P1_T1?L1.1.2.7" localSheetId="21" hidden="1">#REF!,#REF!,#REF!,#REF!,#REF!,#REF!,#REF!</definedName>
    <definedName name="P1_T1?L1.1.2.7" localSheetId="46" hidden="1">#REF!,#REF!,#REF!,#REF!,#REF!,#REF!,#REF!</definedName>
    <definedName name="P1_T1?L1.1.2.7" localSheetId="7" hidden="1">#REF!,#REF!,#REF!,#REF!,#REF!,#REF!,#REF!</definedName>
    <definedName name="P1_T1?L1.1.2.7" hidden="1">#REF!,#REF!,#REF!,#REF!,#REF!,#REF!,#REF!</definedName>
    <definedName name="P1_T1?L1.1.2.7.1" localSheetId="15" hidden="1">#REF!,#REF!,#REF!,#REF!,#REF!,#REF!,#REF!</definedName>
    <definedName name="P1_T1?L1.1.2.7.1" localSheetId="21" hidden="1">#REF!,#REF!,#REF!,#REF!,#REF!,#REF!,#REF!</definedName>
    <definedName name="P1_T1?L1.1.2.7.1" localSheetId="46" hidden="1">#REF!,#REF!,#REF!,#REF!,#REF!,#REF!,#REF!</definedName>
    <definedName name="P1_T1?L1.1.2.7.1" localSheetId="7" hidden="1">#REF!,#REF!,#REF!,#REF!,#REF!,#REF!,#REF!</definedName>
    <definedName name="P1_T1?L1.1.2.7.1" hidden="1">#REF!,#REF!,#REF!,#REF!,#REF!,#REF!,#REF!</definedName>
    <definedName name="P1_T1?M1" localSheetId="15" hidden="1">#REF!,#REF!,#REF!,#REF!,#REF!,#REF!,#REF!,#REF!,#REF!,#REF!,#REF!</definedName>
    <definedName name="P1_T1?M1" localSheetId="21" hidden="1">#REF!,#REF!,#REF!,#REF!,#REF!,#REF!,#REF!,#REF!,#REF!,#REF!,#REF!</definedName>
    <definedName name="P1_T1?M1" localSheetId="46" hidden="1">#REF!,#REF!,#REF!,#REF!,#REF!,#REF!,#REF!,#REF!,#REF!,#REF!,#REF!</definedName>
    <definedName name="P1_T1?M1" localSheetId="7" hidden="1">#REF!,#REF!,#REF!,#REF!,#REF!,#REF!,#REF!,#REF!,#REF!,#REF!,#REF!</definedName>
    <definedName name="P1_T1?M1" hidden="1">#REF!,#REF!,#REF!,#REF!,#REF!,#REF!,#REF!,#REF!,#REF!,#REF!,#REF!</definedName>
    <definedName name="P1_T1?M2" localSheetId="15" hidden="1">#REF!,#REF!,#REF!,#REF!,#REF!,#REF!,#REF!,#REF!,#REF!,#REF!,#REF!</definedName>
    <definedName name="P1_T1?M2" localSheetId="21" hidden="1">#REF!,#REF!,#REF!,#REF!,#REF!,#REF!,#REF!,#REF!,#REF!,#REF!,#REF!</definedName>
    <definedName name="P1_T1?M2" localSheetId="46" hidden="1">#REF!,#REF!,#REF!,#REF!,#REF!,#REF!,#REF!,#REF!,#REF!,#REF!,#REF!</definedName>
    <definedName name="P1_T1?M2" localSheetId="7" hidden="1">#REF!,#REF!,#REF!,#REF!,#REF!,#REF!,#REF!,#REF!,#REF!,#REF!,#REF!</definedName>
    <definedName name="P1_T1?M2" hidden="1">#REF!,#REF!,#REF!,#REF!,#REF!,#REF!,#REF!,#REF!,#REF!,#REF!,#REF!</definedName>
    <definedName name="P1_T1?unit?ГКАЛ" localSheetId="15" hidden="1">#REF!,#REF!,#REF!,#REF!,#REF!,#REF!,#REF!</definedName>
    <definedName name="P1_T1?unit?ГКАЛ" localSheetId="21" hidden="1">#REF!,#REF!,#REF!,#REF!,#REF!,#REF!,#REF!</definedName>
    <definedName name="P1_T1?unit?ГКАЛ" localSheetId="46" hidden="1">#REF!,#REF!,#REF!,#REF!,#REF!,#REF!,#REF!</definedName>
    <definedName name="P1_T1?unit?ГКАЛ" localSheetId="7" hidden="1">#REF!,#REF!,#REF!,#REF!,#REF!,#REF!,#REF!</definedName>
    <definedName name="P1_T1?unit?ГКАЛ" hidden="1">#REF!,#REF!,#REF!,#REF!,#REF!,#REF!,#REF!</definedName>
    <definedName name="P1_T1?unit?РУБ.ГКАЛ" localSheetId="15" hidden="1">#REF!,#REF!,#REF!,#REF!,#REF!,#REF!,#REF!</definedName>
    <definedName name="P1_T1?unit?РУБ.ГКАЛ" localSheetId="21" hidden="1">#REF!,#REF!,#REF!,#REF!,#REF!,#REF!,#REF!</definedName>
    <definedName name="P1_T1?unit?РУБ.ГКАЛ" localSheetId="46" hidden="1">#REF!,#REF!,#REF!,#REF!,#REF!,#REF!,#REF!</definedName>
    <definedName name="P1_T1?unit?РУБ.ГКАЛ" localSheetId="7" hidden="1">#REF!,#REF!,#REF!,#REF!,#REF!,#REF!,#REF!</definedName>
    <definedName name="P1_T1?unit?РУБ.ГКАЛ" hidden="1">#REF!,#REF!,#REF!,#REF!,#REF!,#REF!,#REF!</definedName>
    <definedName name="P1_T1?unit?РУБ.ТОНН" localSheetId="15" hidden="1">#REF!,#REF!,#REF!,#REF!,#REF!,#REF!,#REF!,#REF!,#REF!,#REF!,#REF!</definedName>
    <definedName name="P1_T1?unit?РУБ.ТОНН" localSheetId="21" hidden="1">#REF!,#REF!,#REF!,#REF!,#REF!,#REF!,#REF!,#REF!,#REF!,#REF!,#REF!</definedName>
    <definedName name="P1_T1?unit?РУБ.ТОНН" localSheetId="46" hidden="1">#REF!,#REF!,#REF!,#REF!,#REF!,#REF!,#REF!,#REF!,#REF!,#REF!,#REF!</definedName>
    <definedName name="P1_T1?unit?РУБ.ТОНН" localSheetId="7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15" hidden="1">#REF!,#REF!,#REF!,#REF!,#REF!,#REF!,#REF!</definedName>
    <definedName name="P1_T1?unit?СТР" localSheetId="21" hidden="1">#REF!,#REF!,#REF!,#REF!,#REF!,#REF!,#REF!</definedName>
    <definedName name="P1_T1?unit?СТР" localSheetId="46" hidden="1">#REF!,#REF!,#REF!,#REF!,#REF!,#REF!,#REF!</definedName>
    <definedName name="P1_T1?unit?СТР" localSheetId="7" hidden="1">#REF!,#REF!,#REF!,#REF!,#REF!,#REF!,#REF!</definedName>
    <definedName name="P1_T1?unit?СТР" hidden="1">#REF!,#REF!,#REF!,#REF!,#REF!,#REF!,#REF!</definedName>
    <definedName name="P1_T1?unit?ТОНН" localSheetId="15" hidden="1">#REF!,#REF!,#REF!,#REF!,#REF!,#REF!,#REF!,#REF!,#REF!,#REF!,#REF!</definedName>
    <definedName name="P1_T1?unit?ТОНН" localSheetId="21" hidden="1">#REF!,#REF!,#REF!,#REF!,#REF!,#REF!,#REF!,#REF!,#REF!,#REF!,#REF!</definedName>
    <definedName name="P1_T1?unit?ТОНН" localSheetId="46" hidden="1">#REF!,#REF!,#REF!,#REF!,#REF!,#REF!,#REF!,#REF!,#REF!,#REF!,#REF!</definedName>
    <definedName name="P1_T1?unit?ТОНН" localSheetId="7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15" hidden="1">#REF!,#REF!,#REF!,#REF!,#REF!,#REF!,#REF!</definedName>
    <definedName name="P1_T1?unit?ТРУБ" localSheetId="21" hidden="1">#REF!,#REF!,#REF!,#REF!,#REF!,#REF!,#REF!</definedName>
    <definedName name="P1_T1?unit?ТРУБ" localSheetId="46" hidden="1">#REF!,#REF!,#REF!,#REF!,#REF!,#REF!,#REF!</definedName>
    <definedName name="P1_T1?unit?ТРУБ" localSheetId="7" hidden="1">#REF!,#REF!,#REF!,#REF!,#REF!,#REF!,#REF!</definedName>
    <definedName name="P1_T1?unit?ТРУБ" hidden="1">#REF!,#REF!,#REF!,#REF!,#REF!,#REF!,#REF!</definedName>
    <definedName name="P1_T10?Data">'[27]10'!$D$17:$S$19,'[27]10'!$D$21:$S$23,'[27]10'!$D$25:$S$27,'[27]10'!$D$29:$S$31,'[27]10'!$D$33:$S$33,'[27]10'!$D$36:$S$39,'[27]10'!$D$42:$S$44,'[27]10'!$D$46:$S$48,'[27]10'!$D$50:$S$52,'[27]10'!$D$54:$S$56,'[27]10'!$D$58:$S$60</definedName>
    <definedName name="P1_T11?Data">'[27]11'!$F$13:$Q$15,'[27]11'!$F$17:$Q$19,'[27]11'!$F$21:$Q$23,'[27]11'!$F$25:$Q$27,'[27]11'!$F$29:$Q$31,'[27]11'!$F$33:$Q$33,'[27]11'!$F$36:$Q$39,'[27]11'!$F$41:$H$41,'[27]11'!$N$41:$Q$41,'[27]11'!$F$42:$Q$45,'[27]11'!$F$48:$Q$50</definedName>
    <definedName name="P1_T12?Data">'[27]12'!$H$13:$J$13,'[27]12'!$C$15:$J$16,'[27]12'!$C$17:$E$17,'[27]12'!$H$17:$J$17,'[27]12'!$C$19:$J$21,'[27]12'!$C$23:$E$23,'[27]12'!$H$23:$J$23,'[27]12'!$C$25:$J$27,'[27]12'!$H$29:$J$29,'[27]12'!$C$31:$E$31,'[27]12'!$H$31:$J$31</definedName>
    <definedName name="P1_T16_Protect" hidden="1">'[11]16'!$G$10:$K$14,'[11]16'!$G$17:$K$17,'[11]16'!$G$20:$K$20,'[11]16'!$G$23:$K$23,'[11]16'!$G$26:$K$26,'[11]16'!$G$29:$K$29,'[11]16'!$G$33:$K$34,'[11]16'!$G$38:$K$40</definedName>
    <definedName name="P1_T16?axis?R?ДОГОВОР" hidden="1">'[3]16'!$E$76:$M$76,'[3]16'!$E$8:$M$8,'[3]16'!$E$12:$M$12,'[3]16'!$E$52:$M$52,'[3]16'!$E$16:$M$16,'[3]16'!$E$64:$M$64,'[3]16'!$E$84:$M$85,'[3]16'!$E$48:$M$48,'[3]16'!$E$80:$M$80,'[3]16'!$E$72:$M$72,'[3]16'!$E$44:$M$44</definedName>
    <definedName name="P1_T16?axis?R?ДОГОВОР?" hidden="1">'[3]16'!$A$76,'[3]16'!$A$84:$A$85,'[3]16'!$A$72,'[3]16'!$A$80,'[3]16'!$A$68,'[3]16'!$A$64,'[3]16'!$A$60,'[3]16'!$A$56,'[3]16'!$A$52,'[3]16'!$A$48,'[3]16'!$A$44,'[3]16'!$A$40,'[3]16'!$A$36,'[3]16'!$A$32,'[3]16'!$A$28,'[3]16'!$A$24,'[3]16'!$A$20</definedName>
    <definedName name="P1_T16?L1" hidden="1">'[3]16'!$A$74:$M$74,'[3]16'!$A$14:$M$14,'[3]16'!$A$10:$M$10,'[3]16'!$A$50:$M$50,'[3]16'!$A$6:$M$6,'[3]16'!$A$62:$M$62,'[3]16'!$A$78:$M$78,'[3]16'!$A$46:$M$46,'[3]16'!$A$82:$M$82,'[3]16'!$A$70:$M$70,'[3]16'!$A$42:$M$42</definedName>
    <definedName name="P1_T16?L1.x" hidden="1">'[3]16'!$A$76:$M$76,'[3]16'!$A$16:$M$16,'[3]16'!$A$12:$M$12,'[3]16'!$A$52:$M$52,'[3]16'!$A$8:$M$8,'[3]16'!$A$64:$M$64,'[3]16'!$A$80:$M$80,'[3]16'!$A$48:$M$48,'[3]16'!$A$84:$M$85,'[3]16'!$A$72:$M$72,'[3]16'!$A$44:$M$44</definedName>
    <definedName name="P1_T17_Protection">'[24]29'!$O$47:$P$51,'[24]29'!$L$47:$M$51,'[24]29'!$L$53:$M$53,'[24]29'!$L$55:$M$59,'[24]29'!$O$53:$P$53,'[24]29'!$O$55:$P$59,'[24]29'!$F$12:$G$16,'[24]29'!$F$10:$G$10</definedName>
    <definedName name="P1_T17?L4">'[24]29'!$J$18:$J$25,'[24]29'!$G$18:$G$25,'[24]29'!$G$35:$G$42,'[24]29'!$J$35:$J$42,'[24]29'!$G$60,'[24]29'!$J$60,'[24]29'!$M$60,'[24]29'!$P$60,'[24]29'!$P$18:$P$25,'[24]29'!$G$9:$G$16</definedName>
    <definedName name="P1_T17?unit?РУБ.ГКАЛ">'[24]29'!$F$44:$F$51,'[24]29'!$I$44:$I$51,'[24]29'!$L$44:$L$51,'[24]29'!$F$18:$F$25,'[24]29'!$I$60,'[24]29'!$L$60,'[24]29'!$O$60,'[24]29'!$F$60,'[24]29'!$F$9:$F$16,'[24]29'!$I$9:$I$16</definedName>
    <definedName name="P1_T17?unit?ТГКАЛ">'[24]29'!$M$18:$M$25,'[24]29'!$J$18:$J$25,'[24]29'!$G$18:$G$25,'[24]29'!$G$35:$G$42,'[24]29'!$J$35:$J$42,'[24]29'!$G$60,'[24]29'!$J$60,'[24]29'!$M$60,'[24]29'!$P$60,'[24]29'!$G$9:$G$16</definedName>
    <definedName name="P1_T18.1?Data">'[27]18.1'!$F$37:$W$42,'[27]18.1'!$C$44:$D$44,'[27]18.1'!$F$44:$W$44,'[27]18.1'!$C$46:$D$48,'[27]18.1'!$F$46:$W$48,'[27]18.1'!$C$50:$D$50,'[27]18.1'!$F$50:$W$50,'[27]18.1'!$C$8:$D$13,'[27]18.1'!$F$8:$W$13,'[27]18.1'!$C$15:$D$20</definedName>
    <definedName name="P1_T19.1.1?Data">'[27]19.1.1'!$F$38:$S$42,'[27]19.1.1'!$C$44:$D$45,'[27]19.1.1'!$F$44:$S$45,'[27]19.1.1'!$C$47:$D$47,'[27]19.1.1'!$F$47:$S$47,'[27]19.1.1'!$C$9:$D$14,'[27]19.1.1'!$F$9:$S$14,'[27]19.1.1'!$C$16:$D$21,'[27]19.1.1'!$F$16:$S$21</definedName>
    <definedName name="P1_T19.1.2?Data">'[27]19.1.2'!$F$38:$M$42,'[27]19.1.2'!$C$44:$D$45,'[27]19.1.2'!$F$44:$M$45,'[27]19.1.2'!$C$47:$D$47,'[27]19.1.2'!$F$47:$M$47,'[27]19.1.2'!$C$9:$D$14,'[27]19.1.2'!$F$9:$M$14,'[27]19.1.2'!$C$16:$D$21,'[27]19.1.2'!$F$16:$M$21</definedName>
    <definedName name="P1_T19.2?Data">'[27]19.2'!$C$37:$F$37,'[27]19.2'!$H$37:$W$37,'[27]19.2'!$C$39:$F$40,'[27]19.2'!$H$39:$W$40,'[27]19.2'!$C$42:$F$47,'[27]19.2'!$H$42:$W$47,'[27]19.2'!$C$10:$F$10,'[27]19.2'!$H$10:$W$10,'[27]19.2'!$C$49:$F$49,'[27]19.2'!$H$49:$W$49</definedName>
    <definedName name="P1_T2.1?Data">'[27]2.1'!$C$17:$D$17,'[27]2.1'!$C$19:$D$21,'[27]2.1'!$C$23:$D$33,'[27]2.1'!$C$35:$D$41,'[27]2.1'!$C$43:$D$43,'[27]2.1'!$C$45:$D$47,'[27]2.1'!$C$69:$D$69,'[27]2.1'!$C$6:$D$7,'[27]2.1'!$C$49:$D$52,'[27]2.1'!$C$54:$D$60,'[27]2.1'!$C$62:$D$62</definedName>
    <definedName name="P1_T2.1?Protection">'[28]2007 (Min)'!$G$34:$H$35,'[28]2007 (Min)'!$K$34:$L$35,'[28]2007 (Min)'!$O$34:$P$35,'[28]2007 (Min)'!$G$38:$H$38,'[28]2007 (Min)'!$K$38:$L$38</definedName>
    <definedName name="P1_T2.2_DiapProt">'[28]2007 (Max)'!$G$44:$H$44,'[28]2007 (Max)'!$G$47:$H$47,'[28]2007 (Max)'!$K$44:$L$44,'[28]2007 (Max)'!$K$47:$L$47,'[28]2007 (Max)'!$O$44:$P$44</definedName>
    <definedName name="P1_T20_Protection" hidden="1">'[24]20'!$E$4:$H$4,'[24]20'!$E$13:$H$13,'[24]20'!$E$16:$H$17,'[24]20'!$E$19:$H$19,'[24]20'!$J$4:$M$4,'[24]20'!$J$8:$M$11,'[24]20'!$J$13:$M$13,'[24]20'!$J$16:$M$17,'[24]20'!$J$19:$M$19</definedName>
    <definedName name="P1_T21_Protection">'[24]21'!$O$31:$S$33,'[24]21'!$E$11,'[24]21'!$G$11:$K$11,'[24]21'!$M$11,'[24]21'!$O$11:$S$11,'[24]21'!$E$14:$E$16,'[24]21'!$G$14:$K$16,'[24]21'!$M$14:$M$16,'[24]21'!$O$14:$S$16</definedName>
    <definedName name="P1_T21.1?Data">'[27]21.1'!$C$8:$D$8,'[27]21.1'!$F$10:$W$11,'[27]21.1'!$C$10:$D$11,'[27]21.1'!$F$13:$W$16,'[27]21.1'!$C$13:$D$16,'[27]21.1'!$F$18:$W$20,'[27]21.1'!$C$18:$D$20,'[27]21.1'!$F$22:$W$24,'[27]21.1'!$C$22:$D$24,'[27]21.1'!$F$26:$W$27</definedName>
    <definedName name="P1_T21.2.1?Data">'[27]21.2.1'!$C$9:$D$9,'[27]21.2.1'!$F$11:$S$12,'[27]21.2.1'!$C$11:$D$12,'[27]21.2.1'!$F$14:$S$17,'[27]21.2.1'!$C$14:$D$17,'[27]21.2.1'!$F$19:$S$21,'[27]21.2.1'!$C$19:$D$21,'[27]21.2.1'!$F$23:$S$25,'[27]21.2.1'!$C$23:$D$25</definedName>
    <definedName name="P1_T21.2.2?Data">'[27]21.2.2'!$C$9:$D$9,'[27]21.2.2'!$F$11:$M$12,'[27]21.2.2'!$C$11:$D$12,'[27]21.2.2'!$F$14:$M$17,'[27]21.2.2'!$C$14:$D$17,'[27]21.2.2'!$F$19:$M$21,'[27]21.2.2'!$C$19:$D$21,'[27]21.2.2'!$F$23:$M$25,'[27]21.2.2'!$C$23:$D$25</definedName>
    <definedName name="P1_T21.4?Data">'[27]21.4'!$C$11:$D$11,'[27]21.4'!$F$13:$M$14,'[27]21.4'!$C$13:$D$14,'[27]21.4'!$F$16:$M$19,'[27]21.4'!$C$16:$D$19,'[27]21.4'!$F$21:$M$23,'[27]21.4'!$C$21:$D$23,'[27]21.4'!$F$25:$M$27,'[27]21.4'!$C$25:$D$27,'[27]21.4'!$F$29:$M$30</definedName>
    <definedName name="P1_T23_Protection">'[24]23'!$F$9:$J$25,'[24]23'!$O$9:$P$25,'[24]23'!$A$32:$A$34,'[24]23'!$F$32:$J$34,'[24]23'!$O$32:$P$34,'[24]23'!$A$37:$A$53,'[24]23'!$F$37:$J$53,'[24]23'!$O$37:$P$53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'[24]25'!$G$8:$J$21,'[24]25'!$G$24:$J$28,'[24]25'!$G$30:$J$33,'[24]25'!$G$35:$J$37,'[24]25'!$G$41:$J$42,'[24]25'!$L$8:$O$21,'[24]25'!$L$24:$O$28,'[24]25'!$L$30:$O$33</definedName>
    <definedName name="P1_T26_Protection">'[24]26'!$B$34:$B$36,'[24]26'!$F$8:$I$8,'[24]26'!$F$10:$I$11,'[24]26'!$F$13:$I$15,'[24]26'!$F$18:$I$19,'[24]26'!$F$22:$I$24,'[24]26'!$F$26:$I$26,'[24]26'!$F$29:$I$32</definedName>
    <definedName name="P1_T27_Protection">'[24]27'!$B$34:$B$36,'[24]27'!$F$8:$I$8,'[24]27'!$F$10:$I$11,'[24]27'!$F$13:$I$15,'[24]27'!$F$18:$I$19,'[24]27'!$F$22:$I$24,'[24]27'!$F$26:$I$26,'[24]27'!$F$29:$I$32</definedName>
    <definedName name="P1_T27?L3.1">'[27]27'!$BB$12:$BF$12,'[27]27'!$BH$12:$BL$12,'[27]27'!$BN$12:$BR$12,'[27]27'!$BT$12:$BX$12,'[27]27'!$CA$12:$CE$12,'[27]27'!$CG$12:$CK$12,'[27]27'!$CM$12:$CQ$12,'[27]27'!$E$12:$I$12,'[27]27'!$L$12:$P$12,'[27]27'!$R$12:$V$12</definedName>
    <definedName name="P1_T27?L3.2">'[27]27'!$R$13:$V$13,'[27]27'!$L$13:$P$13,'[27]27'!$E$13:$I$13,'[27]27'!$CM$13:$CQ$13,'[27]27'!$CG$13:$CK$13,'[27]27'!$CA$13:$CE$13,'[27]27'!$BT$13:$BX$13,'[27]27'!$BN$13:$BR$13,'[27]27'!$BH$13:$BL$13,'[27]27'!$BB$13:$BF$13</definedName>
    <definedName name="P1_T27?L4">'[27]27'!$BU$15:$BX$15,'[27]27'!$BZ$15:$CF$15,'[27]27'!$CH$15:$CL$15,'[27]27'!$CN$15:$CR$15,'[27]27'!$CT$15:$CX$15,'[27]27'!$CZ$15:$DC$15,'[27]27'!$D$15,'[27]27'!$F$15:$I$15,'[27]27'!$K$15,'[27]27'!$M$15:$Q$15,'[27]27'!$S$15:$W$15</definedName>
    <definedName name="P1_T27?L4.1">'[27]27'!$BC$16:$BF$16,'[27]27'!$BI$16:$BL$16,'[27]27'!$BO$16:$BR$16,'[27]27'!$BU$16:$BX$16,'[27]27'!$CB$16:$CE$16,'[27]27'!$CH$16:$CK$16,'[27]27'!$CN$16:$CQ$16,'[27]27'!$CT$16:$CW$16,'[27]27'!$CZ$16:$DC$16,'[27]27'!$M$16:$P$16</definedName>
    <definedName name="P1_T27?L4.1.1">'[27]27'!$BO$17:$BR$17,'[27]27'!$BI$17:$BL$17,'[27]27'!$BC$17:$BF$17,'[27]27'!$AW$17:$AZ$17,'[27]27'!$AQ$17:$AT$17,'[27]27'!$AK$17:$AN$17,'[27]27'!$AE$17:$AH$17,'[27]27'!$Y$17:$AB$17,'[27]27'!$S$17:$V$17,'[27]27'!$M$17:$P$17</definedName>
    <definedName name="P1_T27?L4.1.1.1">'[27]27'!$CB$18:$CE$18,'[27]27'!$CH$18:$CK$18,'[27]27'!$CN$18:$CQ$18,'[27]27'!$CT$18:$CW$18,'[27]27'!$CZ$18:$DC$18,'[27]27'!$F$18:$I$18,'[27]27'!$M$18:$P$18,'[27]27'!$S$18:$V$18,'[27]27'!$Y$18:$AB$18,'[27]27'!$AE$18:$AH$18</definedName>
    <definedName name="P1_T27?L4.1.2">'[27]27'!$AE$19:$AH$19,'[27]27'!$Y$19:$AB$19,'[27]27'!$S$19:$V$19,'[27]27'!$M$19:$P$19,'[27]27'!$F$19:$I$19,'[27]27'!$CZ$19:$DC$19,'[27]27'!$CT$19:$CW$19,'[27]27'!$CN$19:$CQ$19,'[27]27'!$CH$19:$CK$19,'[27]27'!$CB$19:$CE$19</definedName>
    <definedName name="P1_T27?L4.2">'[27]27'!$S$21:$V$21,'[27]27'!$Y$21:$AB$21,'[27]27'!$AE$21:$AH$21,'[27]27'!$AK$21:$AN$21,'[27]27'!$AQ$21:$AT$21,'[27]27'!$AW$21:$AZ$21,'[27]27'!$BC$21:$BF$21,'[27]27'!$BI$21:$BL$21,'[27]27'!$BO$21:$BR$21,'[27]27'!$BU$21:$BX$21</definedName>
    <definedName name="P1_T28_Protection">'[24]28'!$B$74:$B$76,'[24]28'!$B$80:$B$82,'[24]28'!$B$89:$B$91,'[24]28'!$B$94:$B$96,'[24]28'!$B$100:$B$102,'[24]28'!$B$106:$B$108,'[24]28'!$B$115:$B$117,'[24]28'!$B$120:$B$122</definedName>
    <definedName name="P1_T28?axis?R?ПЭ">'[24]28'!$D$16:$I$18,'[24]28'!$D$22:$I$24,'[24]28'!$D$28:$I$30,'[24]28'!$D$37:$I$39,'[24]28'!$D$42:$I$44,'[24]28'!$D$48:$I$50,'[24]28'!$D$54:$I$56,'[24]28'!$D$63:$I$65</definedName>
    <definedName name="P1_T28?axis?R?ПЭ?">'[24]28'!$B$16:$B$18,'[24]28'!$B$22:$B$24,'[24]28'!$B$28:$B$30,'[24]28'!$B$37:$B$39,'[24]28'!$B$42:$B$44,'[24]28'!$B$48:$B$50,'[24]28'!$B$54:$B$56,'[24]28'!$B$63:$B$65</definedName>
    <definedName name="P1_T28?Data">'[24]28'!$G$242:$H$265,'[24]28'!$D$242:$E$265,'[24]28'!$G$216:$H$239,'[24]28'!$D$268:$E$292,'[24]28'!$G$268:$H$292,'[24]28'!$D$216:$E$239,'[24]28'!$G$190:$H$213</definedName>
    <definedName name="P1_T28.3?unit?РУБ.ГКАЛ">'[27]28.3'!$E$17:$S$17,'[27]28.3'!$E$21:$S$23,'[27]28.3'!$E$25:$S$25,'[27]28.3'!$E$42:$S$42,'[27]28.3'!$E$44:$S$44,'[27]28.3'!$E$46:$S$48,'[27]28.3'!$E$50:$S$50,'[27]28.3'!$E$67:$S$67,'[27]28.3'!$E$69:$S$69,'[27]28.3'!$E$71:$S$73</definedName>
    <definedName name="P1_T29?item_ext?1СТ">'[27]29'!$G$92:$X$92,'[27]29'!$G$12:$X$12,'[27]29'!$G$18:$X$18,'[27]29'!$G$24:$X$24,'[27]29'!$G$30:$X$30,'[27]29'!$G$36:$X$36,'[27]29'!$G$42:$X$42,'[27]29'!$G$48:$X$48,'[27]29'!$G$54:$X$54,'[27]29'!$G$60:$X$60,'[27]29'!$G$66:$X$66</definedName>
    <definedName name="P1_T29?item_ext?2СТ.М">'[27]29'!$G$14:$X$14,'[27]29'!$G$20:$X$20,'[27]29'!$G$26:$X$26,'[27]29'!$G$32:$X$32,'[27]29'!$G$38:$X$38,'[27]29'!$G$44:$X$44,'[27]29'!$G$50:$X$50,'[27]29'!$G$56:$X$56,'[27]29'!$G$62:$X$62,'[27]29'!$G$68:$X$68,'[27]29'!$G$74:$X$74</definedName>
    <definedName name="P1_T29?item_ext?2СТ.Э">'[27]29'!$G$15:$X$15,'[27]29'!$G$21:$X$21,'[27]29'!$G$27:$X$27,'[27]29'!$G$33:$X$33,'[27]29'!$G$39:$X$39,'[27]29'!$G$45:$X$45,'[27]29'!$G$51:$X$51,'[27]29'!$G$57:$X$57,'[27]29'!$G$63:$X$63,'[27]29'!$G$69:$X$69,'[27]29'!$G$75:$X$75</definedName>
    <definedName name="P1_T29?L10">'[27]29'!$M$78:$X$78,'[27]29'!$M$89:$X$89,'[27]29'!$M$92:$X$92,'[27]29'!$M$12:$X$12,'[27]29'!$M$18:$X$18,'[27]29'!$M$24:$X$24,'[27]29'!$M$30:$X$30,'[27]29'!$M$36:$X$36,'[27]29'!$M$42:$X$42,'[27]29'!$M$48:$X$48,'[27]29'!$M$54:$X$54</definedName>
    <definedName name="P1_T29?L4">'[27]29'!$G$24,'[27]29'!$G$26:$G$27,'[27]29'!$G$30,'[27]29'!$G$32:$G$33,'[27]29'!$G$36,'[27]29'!$G$38:$G$39,'[27]29'!$G$42,'[27]29'!$G$44:$G$45,'[27]29'!$G$48,'[27]29'!$G$50:$G$51,'[27]29'!$G$54,'[27]29'!$G$56:$G$57,'[27]29'!$G$60,'[27]29'!$G$62:$G$63</definedName>
    <definedName name="P1_T29?L5">'[27]29'!$H$48,'[27]29'!$H$51,'[27]29'!$H$54,'[27]29'!$H$57,'[27]29'!$H$60,'[27]29'!$H$63,'[27]29'!$H$66,'[27]29'!$H$69,'[27]29'!$H$72,'[27]29'!$H$75,'[27]29'!$H$78,'[27]29'!$H$86,'[27]29'!$H$89,'[27]29'!$H$92,'[27]29'!$H$100,'[27]29'!$H$12,'[27]29'!$H$15,'[27]29'!$H$18</definedName>
    <definedName name="P1_T29?L6">'[27]29'!$I$72:$L$72,'[27]29'!$I$74:$L$75,'[27]29'!$I$78:$L$83,'[27]29'!$I$85:$L$86,'[27]29'!$I$89:$L$89,'[27]29'!$I$92:$L$97,'[27]29'!$I$99:$L$100,'[27]29'!$I$12:$L$12,'[27]29'!$I$14:$L$15,'[27]29'!$I$18:$L$18,'[27]29'!$I$20:$L$21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'[27]7'!$D$34:$S$37,'[27]7'!$D$63:$S$66,'[27]7'!$D$14:$S$15,'[27]7'!$D$17:$S$23,'[27]7'!$D$25:$S$25,'[27]7'!$D$27:$S$27,'[27]7'!$D$29:$S$29,'[27]7'!$D$31:$S$31,'[27]7'!$D$39:$S$40,'[27]7'!$D$42:$S$45,'[27]7'!$D$47:$S$47,'[27]7'!$D$49:$S$52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1?unit?ТРУБ" localSheetId="15" hidden="1">#REF!,#REF!,#REF!,#REF!,#REF!,#REF!,#REF!</definedName>
    <definedName name="P10_T1?unit?ТРУБ" localSheetId="21" hidden="1">#REF!,#REF!,#REF!,#REF!,#REF!,#REF!,#REF!</definedName>
    <definedName name="P10_T1?unit?ТРУБ" localSheetId="46" hidden="1">#REF!,#REF!,#REF!,#REF!,#REF!,#REF!,#REF!</definedName>
    <definedName name="P10_T1?unit?ТРУБ" localSheetId="7" hidden="1">#REF!,#REF!,#REF!,#REF!,#REF!,#REF!,#REF!</definedName>
    <definedName name="P10_T1?unit?ТРУБ" hidden="1">#REF!,#REF!,#REF!,#REF!,#REF!,#REF!,#REF!</definedName>
    <definedName name="P10_T28_Protection">'[24]28'!$G$167:$H$169,'[24]28'!$D$172:$E$174,'[24]28'!$G$172:$H$174,'[24]28'!$D$178:$E$180,'[24]28'!$G$178:$H$181,'[24]28'!$D$184:$E$186,'[24]28'!$G$184:$H$186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1?unit?ТРУБ" localSheetId="15" hidden="1">#REF!,#REF!,#REF!,#REF!,#REF!,#REF!,#REF!</definedName>
    <definedName name="P11_T1?unit?ТРУБ" localSheetId="21" hidden="1">#REF!,#REF!,#REF!,#REF!,#REF!,#REF!,#REF!</definedName>
    <definedName name="P11_T1?unit?ТРУБ" localSheetId="46" hidden="1">#REF!,#REF!,#REF!,#REF!,#REF!,#REF!,#REF!</definedName>
    <definedName name="P11_T1?unit?ТРУБ" localSheetId="7" hidden="1">#REF!,#REF!,#REF!,#REF!,#REF!,#REF!,#REF!</definedName>
    <definedName name="P11_T1?unit?ТРУБ" hidden="1">#REF!,#REF!,#REF!,#REF!,#REF!,#REF!,#REF!</definedName>
    <definedName name="P11_T28_Protection">'[24]28'!$D$193:$E$195,'[24]28'!$G$193:$H$195,'[24]28'!$D$198:$E$200,'[24]28'!$G$198:$H$200,'[24]28'!$D$204:$E$206,'[24]28'!$G$204:$H$206,'[24]28'!$D$210:$E$212,'[24]28'!$B$68:$B$70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1?unit?ТРУБ" localSheetId="15" hidden="1">#REF!,#REF!,#REF!,#REF!,#REF!,#REF!,#REF!,'10-1_К-ция_ПП'!P1_T1?unit?ТРУБ</definedName>
    <definedName name="P12_T1?unit?ТРУБ" localSheetId="21" hidden="1">#REF!,#REF!,#REF!,#REF!,#REF!,#REF!,#REF!,'15_Пер. Расх_дин'!P1_T1?unit?ТРУБ</definedName>
    <definedName name="P12_T1?unit?ТРУБ" localSheetId="46" hidden="1">#REF!,#REF!,#REF!,#REF!,#REF!,#REF!,#REF!,'28_Кан-ция'!P1_T1?unit?ТРУБ</definedName>
    <definedName name="P12_T1?unit?ТРУБ" localSheetId="47" hidden="1">#REF!,#REF!,#REF!,#REF!,#REF!,#REF!,#REF!,P1_T1?unit?ТРУБ</definedName>
    <definedName name="P12_T1?unit?ТРУБ" localSheetId="7" hidden="1">#REF!,#REF!,#REF!,#REF!,#REF!,#REF!,#REF!,'5-2_ЦГ'!P1_T1?unit?ТРУБ</definedName>
    <definedName name="P12_T1?unit?ТРУБ" hidden="1">#REF!,#REF!,#REF!,#REF!,#REF!,#REF!,#REF!,P1_T1?unit?ТРУБ</definedName>
    <definedName name="P12_T28_Protection" localSheetId="47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3_T1?unit?ТРУБ" localSheetId="15" hidden="1">'10-1_К-ция_ПП'!P2_T1?unit?ТРУБ,'10-1_К-ция_ПП'!P3_T1?unit?ТРУБ,'10-1_К-ция_ПП'!P4_T1?unit?ТРУБ,'10-1_К-ция_ПП'!P5_T1?unit?ТРУБ,'10-1_К-ция_ПП'!P6_T1?unit?ТРУБ,'10-1_К-ция_ПП'!P7_T1?unit?ТРУБ,'10-1_К-ция_ПП'!P8_T1?unit?ТРУБ,'10-1_К-ция_ПП'!P9_T1?unit?ТРУБ,'10-1_К-ция_ПП'!P10_T1?unit?ТРУБ</definedName>
    <definedName name="P13_T1?unit?ТРУБ" localSheetId="21" hidden="1">'15_Пер. Расх_дин'!P2_T1?unit?ТРУБ,'15_Пер. Расх_дин'!P3_T1?unit?ТРУБ,'15_Пер. Расх_дин'!P4_T1?unit?ТРУБ,'15_Пер. Расх_дин'!P5_T1?unit?ТРУБ,'15_Пер. Расх_дин'!P6_T1?unit?ТРУБ,'15_Пер. Расх_дин'!P7_T1?unit?ТРУБ,'15_Пер. Расх_дин'!P8_T1?unit?ТРУБ,'15_Пер. Расх_дин'!P9_T1?unit?ТРУБ,'15_Пер. Расх_дин'!P10_T1?unit?ТРУБ</definedName>
    <definedName name="P13_T1?unit?ТРУБ" localSheetId="46" hidden="1">'28_Кан-ция'!P2_T1?unit?ТРУБ,'28_Кан-ция'!P3_T1?unit?ТРУБ,'28_Кан-ция'!P4_T1?unit?ТРУБ,'28_Кан-ция'!P5_T1?unit?ТРУБ,'28_Кан-ция'!P6_T1?unit?ТРУБ,'28_Кан-ция'!P7_T1?unit?ТРУБ,'28_Кан-ция'!P8_T1?unit?ТРУБ,'28_Кан-ция'!P9_T1?unit?ТРУБ,'28_Кан-ция'!P10_T1?unit?ТРУБ</definedName>
    <definedName name="P13_T1?unit?ТРУБ" localSheetId="47" hidden="1">P2_T1?unit?ТРУБ,P3_T1?unit?ТРУБ,P4_T1?unit?ТРУБ,P5_T1?unit?ТРУБ,P6_T1?unit?ТРУБ,P7_T1?unit?ТРУБ,P8_T1?unit?ТРУБ,P9_T1?unit?ТРУБ,P10_T1?unit?ТРУБ</definedName>
    <definedName name="P13_T1?unit?ТРУБ" localSheetId="7" hidden="1">'5-2_ЦГ'!P2_T1?unit?ТРУБ,'5-2_ЦГ'!P3_T1?unit?ТРУБ,'5-2_ЦГ'!P4_T1?unit?ТРУБ,'5-2_ЦГ'!P5_T1?unit?ТРУБ,'5-2_ЦГ'!P6_T1?unit?ТРУБ,'5-2_ЦГ'!P7_T1?unit?ТРУБ,'5-2_ЦГ'!P8_T1?unit?ТРУБ,'5-2_ЦГ'!P9_T1?unit?ТРУБ,'5-2_ЦГ'!P10_T1?unit?ТРУБ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localSheetId="47" hidden="1">[11]перекрестка!$F$141:$G$141,[11]перекрестка!$F$147:$G$147,[11]перекрестка!$J$38:$K$42,P1_T1_Protect,P2_T1_Protect,P3_T1_Protect,P4_T1_Protect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localSheetId="47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" localSheetId="15">#REF!</definedName>
    <definedName name="p2_" localSheetId="21">#REF!</definedName>
    <definedName name="p2_" localSheetId="46">#REF!</definedName>
    <definedName name="p2_" localSheetId="47">#REF!</definedName>
    <definedName name="p2_" localSheetId="7">#REF!</definedName>
    <definedName name="p2_">#REF!</definedName>
    <definedName name="P2_dip" hidden="1">[23]FST5!$G$100:$G$116,[23]FST5!$G$118:$G$123,[23]FST5!$G$125:$G$126,[23]FST5!$G$128:$G$131,[23]FST5!$G$133,[23]FST5!$G$135:$G$139,[23]FST5!$G$141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?axis?ПРД2?2005" localSheetId="15" hidden="1">#REF!,#REF!,#REF!,#REF!,#REF!,#REF!,#REF!</definedName>
    <definedName name="P2_T1?axis?ПРД2?2005" localSheetId="21" hidden="1">#REF!,#REF!,#REF!,#REF!,#REF!,#REF!,#REF!</definedName>
    <definedName name="P2_T1?axis?ПРД2?2005" localSheetId="46" hidden="1">#REF!,#REF!,#REF!,#REF!,#REF!,#REF!,#REF!</definedName>
    <definedName name="P2_T1?axis?ПРД2?2005" localSheetId="7" hidden="1">#REF!,#REF!,#REF!,#REF!,#REF!,#REF!,#REF!</definedName>
    <definedName name="P2_T1?axis?ПРД2?2005" hidden="1">#REF!,#REF!,#REF!,#REF!,#REF!,#REF!,#REF!</definedName>
    <definedName name="P2_T1?axis?ПРД2?2006" localSheetId="15" hidden="1">#REF!,#REF!,#REF!,#REF!,#REF!,#REF!,#REF!</definedName>
    <definedName name="P2_T1?axis?ПРД2?2006" localSheetId="21" hidden="1">#REF!,#REF!,#REF!,#REF!,#REF!,#REF!,#REF!</definedName>
    <definedName name="P2_T1?axis?ПРД2?2006" localSheetId="46" hidden="1">#REF!,#REF!,#REF!,#REF!,#REF!,#REF!,#REF!</definedName>
    <definedName name="P2_T1?axis?ПРД2?2006" localSheetId="7" hidden="1">#REF!,#REF!,#REF!,#REF!,#REF!,#REF!,#REF!</definedName>
    <definedName name="P2_T1?axis?ПРД2?2006" hidden="1">#REF!,#REF!,#REF!,#REF!,#REF!,#REF!,#REF!</definedName>
    <definedName name="P2_T1?Data" localSheetId="15" hidden="1">#REF!,#REF!,#REF!,#REF!,#REF!,#REF!,#REF!</definedName>
    <definedName name="P2_T1?Data" localSheetId="21" hidden="1">#REF!,#REF!,#REF!,#REF!,#REF!,#REF!,#REF!</definedName>
    <definedName name="P2_T1?Data" localSheetId="46" hidden="1">#REF!,#REF!,#REF!,#REF!,#REF!,#REF!,#REF!</definedName>
    <definedName name="P2_T1?Data" localSheetId="7" hidden="1">#REF!,#REF!,#REF!,#REF!,#REF!,#REF!,#REF!</definedName>
    <definedName name="P2_T1?Data" hidden="1">#REF!,#REF!,#REF!,#REF!,#REF!,#REF!,#REF!</definedName>
    <definedName name="P2_T1?L1.1.1" localSheetId="15" hidden="1">#REF!,#REF!,#REF!,#REF!,#REF!,#REF!,#REF!</definedName>
    <definedName name="P2_T1?L1.1.1" localSheetId="21" hidden="1">#REF!,#REF!,#REF!,#REF!,#REF!,#REF!,#REF!</definedName>
    <definedName name="P2_T1?L1.1.1" localSheetId="46" hidden="1">#REF!,#REF!,#REF!,#REF!,#REF!,#REF!,#REF!</definedName>
    <definedName name="P2_T1?L1.1.1" localSheetId="7" hidden="1">#REF!,#REF!,#REF!,#REF!,#REF!,#REF!,#REF!</definedName>
    <definedName name="P2_T1?L1.1.1" hidden="1">#REF!,#REF!,#REF!,#REF!,#REF!,#REF!,#REF!</definedName>
    <definedName name="P2_T1?L1.1.1.1" localSheetId="15" hidden="1">#REF!,#REF!,#REF!,#REF!,#REF!,#REF!,#REF!</definedName>
    <definedName name="P2_T1?L1.1.1.1" localSheetId="21" hidden="1">#REF!,#REF!,#REF!,#REF!,#REF!,#REF!,#REF!</definedName>
    <definedName name="P2_T1?L1.1.1.1" localSheetId="46" hidden="1">#REF!,#REF!,#REF!,#REF!,#REF!,#REF!,#REF!</definedName>
    <definedName name="P2_T1?L1.1.1.1" localSheetId="7" hidden="1">#REF!,#REF!,#REF!,#REF!,#REF!,#REF!,#REF!</definedName>
    <definedName name="P2_T1?L1.1.1.1" hidden="1">#REF!,#REF!,#REF!,#REF!,#REF!,#REF!,#REF!</definedName>
    <definedName name="P2_T1?L1.1.2" localSheetId="15" hidden="1">#REF!,#REF!,#REF!,#REF!,#REF!,#REF!,#REF!</definedName>
    <definedName name="P2_T1?L1.1.2" localSheetId="21" hidden="1">#REF!,#REF!,#REF!,#REF!,#REF!,#REF!,#REF!</definedName>
    <definedName name="P2_T1?L1.1.2" localSheetId="46" hidden="1">#REF!,#REF!,#REF!,#REF!,#REF!,#REF!,#REF!</definedName>
    <definedName name="P2_T1?L1.1.2" localSheetId="7" hidden="1">#REF!,#REF!,#REF!,#REF!,#REF!,#REF!,#REF!</definedName>
    <definedName name="P2_T1?L1.1.2" hidden="1">#REF!,#REF!,#REF!,#REF!,#REF!,#REF!,#REF!</definedName>
    <definedName name="P2_T1?L1.1.2.1" localSheetId="15" hidden="1">#REF!,#REF!,#REF!,#REF!,#REF!,#REF!,#REF!</definedName>
    <definedName name="P2_T1?L1.1.2.1" localSheetId="21" hidden="1">#REF!,#REF!,#REF!,#REF!,#REF!,#REF!,#REF!</definedName>
    <definedName name="P2_T1?L1.1.2.1" localSheetId="46" hidden="1">#REF!,#REF!,#REF!,#REF!,#REF!,#REF!,#REF!</definedName>
    <definedName name="P2_T1?L1.1.2.1" localSheetId="7" hidden="1">#REF!,#REF!,#REF!,#REF!,#REF!,#REF!,#REF!</definedName>
    <definedName name="P2_T1?L1.1.2.1" hidden="1">#REF!,#REF!,#REF!,#REF!,#REF!,#REF!,#REF!</definedName>
    <definedName name="P2_T1?L1.1.2.1.1" localSheetId="15" hidden="1">#REF!,#REF!,#REF!,#REF!,#REF!,#REF!,#REF!</definedName>
    <definedName name="P2_T1?L1.1.2.1.1" localSheetId="21" hidden="1">#REF!,#REF!,#REF!,#REF!,#REF!,#REF!,#REF!</definedName>
    <definedName name="P2_T1?L1.1.2.1.1" localSheetId="46" hidden="1">#REF!,#REF!,#REF!,#REF!,#REF!,#REF!,#REF!</definedName>
    <definedName name="P2_T1?L1.1.2.1.1" localSheetId="7" hidden="1">#REF!,#REF!,#REF!,#REF!,#REF!,#REF!,#REF!</definedName>
    <definedName name="P2_T1?L1.1.2.1.1" hidden="1">#REF!,#REF!,#REF!,#REF!,#REF!,#REF!,#REF!</definedName>
    <definedName name="P2_T1?L1.1.2.1.2" localSheetId="15" hidden="1">#REF!,#REF!,#REF!,#REF!,#REF!,#REF!,#REF!</definedName>
    <definedName name="P2_T1?L1.1.2.1.2" localSheetId="21" hidden="1">#REF!,#REF!,#REF!,#REF!,#REF!,#REF!,#REF!</definedName>
    <definedName name="P2_T1?L1.1.2.1.2" localSheetId="46" hidden="1">#REF!,#REF!,#REF!,#REF!,#REF!,#REF!,#REF!</definedName>
    <definedName name="P2_T1?L1.1.2.1.2" localSheetId="7" hidden="1">#REF!,#REF!,#REF!,#REF!,#REF!,#REF!,#REF!</definedName>
    <definedName name="P2_T1?L1.1.2.1.2" hidden="1">#REF!,#REF!,#REF!,#REF!,#REF!,#REF!,#REF!</definedName>
    <definedName name="P2_T1?L1.1.2.1.3" localSheetId="15" hidden="1">#REF!,#REF!,#REF!,#REF!,#REF!,#REF!,#REF!</definedName>
    <definedName name="P2_T1?L1.1.2.1.3" localSheetId="21" hidden="1">#REF!,#REF!,#REF!,#REF!,#REF!,#REF!,#REF!</definedName>
    <definedName name="P2_T1?L1.1.2.1.3" localSheetId="46" hidden="1">#REF!,#REF!,#REF!,#REF!,#REF!,#REF!,#REF!</definedName>
    <definedName name="P2_T1?L1.1.2.1.3" localSheetId="7" hidden="1">#REF!,#REF!,#REF!,#REF!,#REF!,#REF!,#REF!</definedName>
    <definedName name="P2_T1?L1.1.2.1.3" hidden="1">#REF!,#REF!,#REF!,#REF!,#REF!,#REF!,#REF!</definedName>
    <definedName name="P2_T1?L1.1.2.2" localSheetId="15" hidden="1">#REF!,#REF!,#REF!,#REF!,#REF!,#REF!,#REF!</definedName>
    <definedName name="P2_T1?L1.1.2.2" localSheetId="21" hidden="1">#REF!,#REF!,#REF!,#REF!,#REF!,#REF!,#REF!</definedName>
    <definedName name="P2_T1?L1.1.2.2" localSheetId="46" hidden="1">#REF!,#REF!,#REF!,#REF!,#REF!,#REF!,#REF!</definedName>
    <definedName name="P2_T1?L1.1.2.2" localSheetId="7" hidden="1">#REF!,#REF!,#REF!,#REF!,#REF!,#REF!,#REF!</definedName>
    <definedName name="P2_T1?L1.1.2.2" hidden="1">#REF!,#REF!,#REF!,#REF!,#REF!,#REF!,#REF!</definedName>
    <definedName name="P2_T1?L1.1.2.3" localSheetId="15" hidden="1">#REF!,#REF!,#REF!,#REF!,#REF!,#REF!,#REF!</definedName>
    <definedName name="P2_T1?L1.1.2.3" localSheetId="21" hidden="1">#REF!,#REF!,#REF!,#REF!,#REF!,#REF!,#REF!</definedName>
    <definedName name="P2_T1?L1.1.2.3" localSheetId="46" hidden="1">#REF!,#REF!,#REF!,#REF!,#REF!,#REF!,#REF!</definedName>
    <definedName name="P2_T1?L1.1.2.3" localSheetId="7" hidden="1">#REF!,#REF!,#REF!,#REF!,#REF!,#REF!,#REF!</definedName>
    <definedName name="P2_T1?L1.1.2.3" hidden="1">#REF!,#REF!,#REF!,#REF!,#REF!,#REF!,#REF!</definedName>
    <definedName name="P2_T1?L1.1.2.4" localSheetId="15" hidden="1">#REF!,#REF!,#REF!,#REF!,#REF!,#REF!,#REF!</definedName>
    <definedName name="P2_T1?L1.1.2.4" localSheetId="21" hidden="1">#REF!,#REF!,#REF!,#REF!,#REF!,#REF!,#REF!</definedName>
    <definedName name="P2_T1?L1.1.2.4" localSheetId="46" hidden="1">#REF!,#REF!,#REF!,#REF!,#REF!,#REF!,#REF!</definedName>
    <definedName name="P2_T1?L1.1.2.4" localSheetId="7" hidden="1">#REF!,#REF!,#REF!,#REF!,#REF!,#REF!,#REF!</definedName>
    <definedName name="P2_T1?L1.1.2.4" hidden="1">#REF!,#REF!,#REF!,#REF!,#REF!,#REF!,#REF!</definedName>
    <definedName name="P2_T1?L1.1.2.5" localSheetId="15" hidden="1">#REF!,#REF!,#REF!,#REF!,#REF!,#REF!,#REF!</definedName>
    <definedName name="P2_T1?L1.1.2.5" localSheetId="21" hidden="1">#REF!,#REF!,#REF!,#REF!,#REF!,#REF!,#REF!</definedName>
    <definedName name="P2_T1?L1.1.2.5" localSheetId="46" hidden="1">#REF!,#REF!,#REF!,#REF!,#REF!,#REF!,#REF!</definedName>
    <definedName name="P2_T1?L1.1.2.5" localSheetId="7" hidden="1">#REF!,#REF!,#REF!,#REF!,#REF!,#REF!,#REF!</definedName>
    <definedName name="P2_T1?L1.1.2.5" hidden="1">#REF!,#REF!,#REF!,#REF!,#REF!,#REF!,#REF!</definedName>
    <definedName name="P2_T1?L1.1.2.6" localSheetId="15" hidden="1">#REF!,#REF!,#REF!,#REF!,#REF!,#REF!,#REF!</definedName>
    <definedName name="P2_T1?L1.1.2.6" localSheetId="21" hidden="1">#REF!,#REF!,#REF!,#REF!,#REF!,#REF!,#REF!</definedName>
    <definedName name="P2_T1?L1.1.2.6" localSheetId="46" hidden="1">#REF!,#REF!,#REF!,#REF!,#REF!,#REF!,#REF!</definedName>
    <definedName name="P2_T1?L1.1.2.6" localSheetId="7" hidden="1">#REF!,#REF!,#REF!,#REF!,#REF!,#REF!,#REF!</definedName>
    <definedName name="P2_T1?L1.1.2.6" hidden="1">#REF!,#REF!,#REF!,#REF!,#REF!,#REF!,#REF!</definedName>
    <definedName name="P2_T1?L1.1.2.7" localSheetId="15" hidden="1">#REF!,#REF!,#REF!,#REF!,#REF!,#REF!,#REF!</definedName>
    <definedName name="P2_T1?L1.1.2.7" localSheetId="21" hidden="1">#REF!,#REF!,#REF!,#REF!,#REF!,#REF!,#REF!</definedName>
    <definedName name="P2_T1?L1.1.2.7" localSheetId="46" hidden="1">#REF!,#REF!,#REF!,#REF!,#REF!,#REF!,#REF!</definedName>
    <definedName name="P2_T1?L1.1.2.7" localSheetId="7" hidden="1">#REF!,#REF!,#REF!,#REF!,#REF!,#REF!,#REF!</definedName>
    <definedName name="P2_T1?L1.1.2.7" hidden="1">#REF!,#REF!,#REF!,#REF!,#REF!,#REF!,#REF!</definedName>
    <definedName name="P2_T1?L1.1.2.7.1" localSheetId="15" hidden="1">#REF!,#REF!,#REF!,#REF!,#REF!,#REF!,#REF!</definedName>
    <definedName name="P2_T1?L1.1.2.7.1" localSheetId="21" hidden="1">#REF!,#REF!,#REF!,#REF!,#REF!,#REF!,#REF!</definedName>
    <definedName name="P2_T1?L1.1.2.7.1" localSheetId="46" hidden="1">#REF!,#REF!,#REF!,#REF!,#REF!,#REF!,#REF!</definedName>
    <definedName name="P2_T1?L1.1.2.7.1" localSheetId="7" hidden="1">#REF!,#REF!,#REF!,#REF!,#REF!,#REF!,#REF!</definedName>
    <definedName name="P2_T1?L1.1.2.7.1" hidden="1">#REF!,#REF!,#REF!,#REF!,#REF!,#REF!,#REF!</definedName>
    <definedName name="P2_T1?M1" localSheetId="15" hidden="1">#REF!,#REF!,#REF!,#REF!,#REF!,#REF!,#REF!,#REF!,#REF!,#REF!,#REF!</definedName>
    <definedName name="P2_T1?M1" localSheetId="21" hidden="1">#REF!,#REF!,#REF!,#REF!,#REF!,#REF!,#REF!,#REF!,#REF!,#REF!,#REF!</definedName>
    <definedName name="P2_T1?M1" localSheetId="46" hidden="1">#REF!,#REF!,#REF!,#REF!,#REF!,#REF!,#REF!,#REF!,#REF!,#REF!,#REF!</definedName>
    <definedName name="P2_T1?M1" localSheetId="7" hidden="1">#REF!,#REF!,#REF!,#REF!,#REF!,#REF!,#REF!,#REF!,#REF!,#REF!,#REF!</definedName>
    <definedName name="P2_T1?M1" hidden="1">#REF!,#REF!,#REF!,#REF!,#REF!,#REF!,#REF!,#REF!,#REF!,#REF!,#REF!</definedName>
    <definedName name="P2_T1?M2" localSheetId="15" hidden="1">#REF!,#REF!,#REF!,#REF!,#REF!,#REF!,#REF!,#REF!,#REF!,#REF!,#REF!</definedName>
    <definedName name="P2_T1?M2" localSheetId="21" hidden="1">#REF!,#REF!,#REF!,#REF!,#REF!,#REF!,#REF!,#REF!,#REF!,#REF!,#REF!</definedName>
    <definedName name="P2_T1?M2" localSheetId="46" hidden="1">#REF!,#REF!,#REF!,#REF!,#REF!,#REF!,#REF!,#REF!,#REF!,#REF!,#REF!</definedName>
    <definedName name="P2_T1?M2" localSheetId="7" hidden="1">#REF!,#REF!,#REF!,#REF!,#REF!,#REF!,#REF!,#REF!,#REF!,#REF!,#REF!</definedName>
    <definedName name="P2_T1?M2" hidden="1">#REF!,#REF!,#REF!,#REF!,#REF!,#REF!,#REF!,#REF!,#REF!,#REF!,#REF!</definedName>
    <definedName name="P2_T1?unit?ГКАЛ" localSheetId="15" hidden="1">#REF!,#REF!,#REF!,#REF!,#REF!,#REF!,#REF!</definedName>
    <definedName name="P2_T1?unit?ГКАЛ" localSheetId="21" hidden="1">#REF!,#REF!,#REF!,#REF!,#REF!,#REF!,#REF!</definedName>
    <definedName name="P2_T1?unit?ГКАЛ" localSheetId="46" hidden="1">#REF!,#REF!,#REF!,#REF!,#REF!,#REF!,#REF!</definedName>
    <definedName name="P2_T1?unit?ГКАЛ" localSheetId="7" hidden="1">#REF!,#REF!,#REF!,#REF!,#REF!,#REF!,#REF!</definedName>
    <definedName name="P2_T1?unit?ГКАЛ" hidden="1">#REF!,#REF!,#REF!,#REF!,#REF!,#REF!,#REF!</definedName>
    <definedName name="P2_T1?unit?РУБ.ГКАЛ" localSheetId="15" hidden="1">#REF!,#REF!,#REF!,#REF!,#REF!,#REF!,#REF!</definedName>
    <definedName name="P2_T1?unit?РУБ.ГКАЛ" localSheetId="21" hidden="1">#REF!,#REF!,#REF!,#REF!,#REF!,#REF!,#REF!</definedName>
    <definedName name="P2_T1?unit?РУБ.ГКАЛ" localSheetId="46" hidden="1">#REF!,#REF!,#REF!,#REF!,#REF!,#REF!,#REF!</definedName>
    <definedName name="P2_T1?unit?РУБ.ГКАЛ" localSheetId="7" hidden="1">#REF!,#REF!,#REF!,#REF!,#REF!,#REF!,#REF!</definedName>
    <definedName name="P2_T1?unit?РУБ.ГКАЛ" hidden="1">#REF!,#REF!,#REF!,#REF!,#REF!,#REF!,#REF!</definedName>
    <definedName name="P2_T1?unit?РУБ.ТОНН" localSheetId="15" hidden="1">#REF!,#REF!,#REF!,#REF!,#REF!,#REF!,#REF!,#REF!,#REF!,#REF!,#REF!</definedName>
    <definedName name="P2_T1?unit?РУБ.ТОНН" localSheetId="21" hidden="1">#REF!,#REF!,#REF!,#REF!,#REF!,#REF!,#REF!,#REF!,#REF!,#REF!,#REF!</definedName>
    <definedName name="P2_T1?unit?РУБ.ТОНН" localSheetId="46" hidden="1">#REF!,#REF!,#REF!,#REF!,#REF!,#REF!,#REF!,#REF!,#REF!,#REF!,#REF!</definedName>
    <definedName name="P2_T1?unit?РУБ.ТОНН" localSheetId="7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15" hidden="1">#REF!,#REF!,#REF!,#REF!,#REF!,#REF!,#REF!</definedName>
    <definedName name="P2_T1?unit?СТР" localSheetId="21" hidden="1">#REF!,#REF!,#REF!,#REF!,#REF!,#REF!,#REF!</definedName>
    <definedName name="P2_T1?unit?СТР" localSheetId="46" hidden="1">#REF!,#REF!,#REF!,#REF!,#REF!,#REF!,#REF!</definedName>
    <definedName name="P2_T1?unit?СТР" localSheetId="7" hidden="1">#REF!,#REF!,#REF!,#REF!,#REF!,#REF!,#REF!</definedName>
    <definedName name="P2_T1?unit?СТР" hidden="1">#REF!,#REF!,#REF!,#REF!,#REF!,#REF!,#REF!</definedName>
    <definedName name="P2_T1?unit?ТОНН" localSheetId="15" hidden="1">#REF!,#REF!,#REF!,#REF!,#REF!,#REF!,#REF!,#REF!,#REF!,#REF!,#REF!</definedName>
    <definedName name="P2_T1?unit?ТОНН" localSheetId="21" hidden="1">#REF!,#REF!,#REF!,#REF!,#REF!,#REF!,#REF!,#REF!,#REF!,#REF!,#REF!</definedName>
    <definedName name="P2_T1?unit?ТОНН" localSheetId="46" hidden="1">#REF!,#REF!,#REF!,#REF!,#REF!,#REF!,#REF!,#REF!,#REF!,#REF!,#REF!</definedName>
    <definedName name="P2_T1?unit?ТОНН" localSheetId="7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15" hidden="1">#REF!,#REF!,#REF!,#REF!,#REF!,#REF!,#REF!</definedName>
    <definedName name="P2_T1?unit?ТРУБ" localSheetId="21" hidden="1">#REF!,#REF!,#REF!,#REF!,#REF!,#REF!,#REF!</definedName>
    <definedName name="P2_T1?unit?ТРУБ" localSheetId="46" hidden="1">#REF!,#REF!,#REF!,#REF!,#REF!,#REF!,#REF!</definedName>
    <definedName name="P2_T1?unit?ТРУБ" localSheetId="7" hidden="1">#REF!,#REF!,#REF!,#REF!,#REF!,#REF!,#REF!</definedName>
    <definedName name="P2_T1?unit?ТРУБ" hidden="1">#REF!,#REF!,#REF!,#REF!,#REF!,#REF!,#REF!</definedName>
    <definedName name="P2_T17_Protection">'[24]29'!$F$19:$G$19,'[24]29'!$F$21:$G$25,'[24]29'!$F$27:$G$27,'[24]29'!$F$29:$G$33,'[24]29'!$F$36:$G$36,'[24]29'!$F$38:$G$42,'[24]29'!$F$45:$G$45,'[24]29'!$F$47:$G$51</definedName>
    <definedName name="P2_T17?L4">'[24]29'!$J$9:$J$16,'[24]29'!$M$9:$M$16,'[24]29'!$P$9:$P$16,'[24]29'!$G$44:$G$51,'[24]29'!$J$44:$J$51,'[24]29'!$M$44:$M$51,'[24]29'!$M$35:$M$42,'[24]29'!$P$35:$P$42,'[24]29'!$P$44:$P$51</definedName>
    <definedName name="P2_T17?unit?РУБ.ГКАЛ">'[24]29'!$I$18:$I$25,'[24]29'!$L$9:$L$16,'[24]29'!$L$18:$L$25,'[24]29'!$O$9:$O$16,'[24]29'!$F$35:$F$42,'[24]29'!$I$35:$I$42,'[24]29'!$L$35:$L$42,'[24]29'!$O$35:$O$51</definedName>
    <definedName name="P2_T17?unit?ТГКАЛ">'[24]29'!$J$9:$J$16,'[24]29'!$M$9:$M$16,'[24]29'!$P$9:$P$16,'[24]29'!$M$35:$M$42,'[24]29'!$P$35:$P$42,'[24]29'!$G$44:$G$51,'[24]29'!$J$44:$J$51,'[24]29'!$M$44:$M$51,'[24]29'!$P$44:$P$51</definedName>
    <definedName name="P2_T18.1?Data">'[27]18.1'!$F$15:$W$20,'[27]18.1'!$C$22:$D$26,'[27]18.1'!$F$22:$W$26,'[27]18.1'!$C$28:$D$30,'[27]18.1'!$F$28:$W$30,'[27]18.1'!$C$32:$D$32,'[27]18.1'!$F$32:$W$32,'[27]18.1'!$C$34:$D$35,'[27]18.1'!$F$34:$W$35,'[27]18.1'!$C$37:$D$42</definedName>
    <definedName name="P2_T19.1.1?Data">'[27]19.1.1'!$C$23:$D$27,'[27]19.1.1'!$F$23:$S$27,'[27]19.1.1'!$C$29:$D$31,'[27]19.1.1'!$F$29:$S$31,'[27]19.1.1'!$C$33:$D$33,'[27]19.1.1'!$F$33:$S$33,'[27]19.1.1'!$C$35:$D$36,'[27]19.1.1'!$F$35:$S$36,'[27]19.1.1'!$C$38:$D$42</definedName>
    <definedName name="P2_T19.1.2?Data">'[27]19.1.2'!$C$23:$D$27,'[27]19.1.2'!$F$23:$M$27,'[27]19.1.2'!$C$29:$D$31,'[27]19.1.2'!$F$29:$M$31,'[27]19.1.2'!$C$33:$D$33,'[27]19.1.2'!$F$33:$M$33,'[27]19.1.2'!$C$35:$D$36,'[27]19.1.2'!$F$35:$M$36,'[27]19.1.2'!$C$38:$D$42</definedName>
    <definedName name="P2_T19.2?Data">'[27]19.2'!$C$12:$F$18,'[27]19.2'!$H$12:$W$18,'[27]19.2'!$C$20:$F$25,'[27]19.2'!$H$20:$W$25,'[27]19.2'!$C$27:$F$31,'[27]19.2'!$H$27:$W$31,'[27]19.2'!$C$33:$F$35,'[27]19.2'!$C$51:$F$52,'[27]19.2'!$H$51:$W$52,'[27]19.2'!$H$33:$W$35</definedName>
    <definedName name="P2_T2.1?Protection">'[28]2007 (Min)'!$G$40:$H$42,'[28]2007 (Min)'!$K$40:$L$42,'[28]2007 (Min)'!$O$40:$P$42,'[28]2007 (Min)'!$G$47:$H$47,'[28]2007 (Min)'!$K$47:$L$47</definedName>
    <definedName name="P2_T2.2?Protection">'[28]2007 (Max)'!$G$17:$H$21,'[28]2007 (Max)'!$K$17:$L$21,'[28]2007 (Max)'!$O$17:$P$21,'[28]2007 (Max)'!$G$25:$H$25,'[28]2007 (Max)'!$K$25:$L$25</definedName>
    <definedName name="P2_T21_Protection">'[24]21'!$E$20:$E$22,'[24]21'!$G$20:$K$22,'[24]21'!$M$20:$M$22,'[24]21'!$O$20:$S$22,'[24]21'!$E$26:$E$28,'[24]21'!$G$26:$K$28,'[24]21'!$M$26:$M$28,'[24]21'!$O$26:$S$28</definedName>
    <definedName name="P2_T21.2.1?Data">'[27]21.2.1'!$F$27:$S$28,'[27]21.2.1'!$C$27:$D$28,'[27]21.2.1'!$F$30:$S$33,'[27]21.2.1'!$C$30:$D$33,'[27]21.2.1'!$F$35:$S$36,'[27]21.2.1'!$C$35:$D$36,'[27]21.2.1'!$F$38:$S$38,'[27]21.2.1'!$C$38:$D$38,'[27]21.2.1'!$F$9:$S$9</definedName>
    <definedName name="P2_T21.2.2?Data">'[27]21.2.2'!$F$27:$M$28,'[27]21.2.2'!$C$27:$D$28,'[27]21.2.2'!$F$30:$M$33,'[27]21.2.2'!$C$30:$D$33,'[27]21.2.2'!$F$35:$M$36,'[27]21.2.2'!$C$35:$D$36,'[27]21.2.2'!$F$38:$M$38,'[27]21.2.2'!$C$38:$D$38,'[27]21.2.2'!$F$9:$M$9</definedName>
    <definedName name="P2_T21.4?Data">'[27]21.4'!$C$29:$D$30,'[27]21.4'!$F$32:$M$35,'[27]21.4'!$C$32:$D$35,'[27]21.4'!$F$37:$M$38,'[27]21.4'!$C$37:$D$38,'[27]21.4'!$F$40:$M$40,'[27]21.4'!$C$40:$D$40,'[27]21.4'!$F$42:$M$43,'[27]21.4'!$C$42:$D$43,'[27]21.4'!$F$11:$M$11</definedName>
    <definedName name="P2_T25_protection">'[24]25'!$L$35:$O$37,'[24]25'!$L$41:$O$42,'[24]25'!$Q$8:$T$21,'[24]25'!$Q$24:$T$28,'[24]25'!$Q$30:$T$33,'[24]25'!$Q$35:$T$37,'[24]25'!$Q$41:$T$42,'[24]25'!$B$35:$B$37</definedName>
    <definedName name="P2_T26_Protection">'[24]26'!$F$34:$I$36,'[24]26'!$K$8:$N$8,'[24]26'!$K$10:$N$11,'[24]26'!$K$13:$N$15,'[24]26'!$K$18:$N$19,'[24]26'!$K$22:$N$24,'[24]26'!$K$26:$N$26,'[24]26'!$K$29:$N$32</definedName>
    <definedName name="P2_T27_Protection">'[24]27'!$F$34:$I$36,'[24]27'!$K$8:$N$8,'[24]27'!$K$10:$N$11,'[24]27'!$K$13:$N$15,'[24]27'!$K$18:$N$19,'[24]27'!$K$22:$N$24,'[24]27'!$K$26:$N$26,'[24]27'!$K$29:$N$32</definedName>
    <definedName name="P2_T28_Protection">'[24]28'!$B$126:$B$128,'[24]28'!$B$132:$B$134,'[24]28'!$B$141:$B$143,'[24]28'!$B$146:$B$148,'[24]28'!$B$152:$B$154,'[24]28'!$B$158:$B$160,'[24]28'!$B$167:$B$169</definedName>
    <definedName name="P2_T28?axis?R?ПЭ">'[24]28'!$D$68:$I$70,'[24]28'!$D$74:$I$76,'[24]28'!$D$80:$I$82,'[24]28'!$D$89:$I$91,'[24]28'!$D$94:$I$96,'[24]28'!$D$100:$I$102,'[24]28'!$D$106:$I$108,'[24]28'!$D$115:$I$117</definedName>
    <definedName name="P2_T28?axis?R?ПЭ?">'[24]28'!$B$68:$B$70,'[24]28'!$B$74:$B$76,'[24]28'!$B$80:$B$82,'[24]28'!$B$89:$B$91,'[24]28'!$B$94:$B$96,'[24]28'!$B$100:$B$102,'[24]28'!$B$106:$B$108,'[24]28'!$B$115:$B$117</definedName>
    <definedName name="P2_T28.3?unit?РУБ.ГКАЛ">'[27]28.3'!$E$75:$S$75,'[27]28.3'!$E$92:$S$92,'[27]28.3'!$E$94:$S$94,'[27]28.3'!$E$96:$S$98,'[27]28.3'!$E$100:$S$100,'[27]28.3'!$E$117:$S$117,'[27]28.3'!$E$119:$S$119,'[27]28.3'!$E$121:$S$123,'[27]28.3'!$E$125:$S$125,'[27]28.3'!$E$19:$S$19</definedName>
    <definedName name="P2_T29?L6">'[27]29'!$I$24:$L$24,'[27]29'!$I$26:$L$27,'[27]29'!$I$30:$L$30,'[27]29'!$I$32:$L$33,'[27]29'!$I$36:$L$36,'[27]29'!$I$38:$L$39,'[27]29'!$I$42:$L$42,'[27]29'!$I$44:$L$45,'[27]29'!$I$48:$L$48,'[27]29'!$I$50:$L$51,'[27]29'!$I$54:$L$54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15">#REF!</definedName>
    <definedName name="p3_" localSheetId="21">#REF!</definedName>
    <definedName name="p3_" localSheetId="46">#REF!</definedName>
    <definedName name="p3_" localSheetId="47">#REF!</definedName>
    <definedName name="p3_" localSheetId="7">#REF!</definedName>
    <definedName name="p3_">#REF!</definedName>
    <definedName name="P3_dip" hidden="1">[23]FST5!$G$143:$G$145,[23]FST5!$G$214:$G$217,[23]FST5!$G$219:$G$224,[23]FST5!$G$226,[23]FST5!$G$228,[23]FST5!$G$230,[23]FST5!$G$232,[23]FST5!$G$197:$G$212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?axis?ПРД2?2005" localSheetId="15" hidden="1">#REF!,#REF!,#REF!,#REF!,#REF!,#REF!,#REF!</definedName>
    <definedName name="P3_T1?axis?ПРД2?2005" localSheetId="21" hidden="1">#REF!,#REF!,#REF!,#REF!,#REF!,#REF!,#REF!</definedName>
    <definedName name="P3_T1?axis?ПРД2?2005" localSheetId="46" hidden="1">#REF!,#REF!,#REF!,#REF!,#REF!,#REF!,#REF!</definedName>
    <definedName name="P3_T1?axis?ПРД2?2005" localSheetId="7" hidden="1">#REF!,#REF!,#REF!,#REF!,#REF!,#REF!,#REF!</definedName>
    <definedName name="P3_T1?axis?ПРД2?2005" hidden="1">#REF!,#REF!,#REF!,#REF!,#REF!,#REF!,#REF!</definedName>
    <definedName name="P3_T1?axis?ПРД2?2006" localSheetId="15" hidden="1">#REF!,#REF!,#REF!,#REF!,#REF!,#REF!,#REF!</definedName>
    <definedName name="P3_T1?axis?ПРД2?2006" localSheetId="21" hidden="1">#REF!,#REF!,#REF!,#REF!,#REF!,#REF!,#REF!</definedName>
    <definedName name="P3_T1?axis?ПРД2?2006" localSheetId="46" hidden="1">#REF!,#REF!,#REF!,#REF!,#REF!,#REF!,#REF!</definedName>
    <definedName name="P3_T1?axis?ПРД2?2006" localSheetId="7" hidden="1">#REF!,#REF!,#REF!,#REF!,#REF!,#REF!,#REF!</definedName>
    <definedName name="P3_T1?axis?ПРД2?2006" hidden="1">#REF!,#REF!,#REF!,#REF!,#REF!,#REF!,#REF!</definedName>
    <definedName name="P3_T1?Data" localSheetId="15" hidden="1">#REF!,#REF!,#REF!,#REF!,#REF!,#REF!,#REF!</definedName>
    <definedName name="P3_T1?Data" localSheetId="21" hidden="1">#REF!,#REF!,#REF!,#REF!,#REF!,#REF!,#REF!</definedName>
    <definedName name="P3_T1?Data" localSheetId="46" hidden="1">#REF!,#REF!,#REF!,#REF!,#REF!,#REF!,#REF!</definedName>
    <definedName name="P3_T1?Data" localSheetId="7" hidden="1">#REF!,#REF!,#REF!,#REF!,#REF!,#REF!,#REF!</definedName>
    <definedName name="P3_T1?Data" hidden="1">#REF!,#REF!,#REF!,#REF!,#REF!,#REF!,#REF!</definedName>
    <definedName name="P3_T1?L1.1.1" localSheetId="15" hidden="1">#REF!,#REF!,#REF!,#REF!,#REF!,#REF!,#REF!</definedName>
    <definedName name="P3_T1?L1.1.1" localSheetId="21" hidden="1">#REF!,#REF!,#REF!,#REF!,#REF!,#REF!,#REF!</definedName>
    <definedName name="P3_T1?L1.1.1" localSheetId="46" hidden="1">#REF!,#REF!,#REF!,#REF!,#REF!,#REF!,#REF!</definedName>
    <definedName name="P3_T1?L1.1.1" localSheetId="7" hidden="1">#REF!,#REF!,#REF!,#REF!,#REF!,#REF!,#REF!</definedName>
    <definedName name="P3_T1?L1.1.1" hidden="1">#REF!,#REF!,#REF!,#REF!,#REF!,#REF!,#REF!</definedName>
    <definedName name="P3_T1?L1.1.1.1" localSheetId="15" hidden="1">#REF!,#REF!,#REF!,#REF!,#REF!,#REF!,#REF!</definedName>
    <definedName name="P3_T1?L1.1.1.1" localSheetId="21" hidden="1">#REF!,#REF!,#REF!,#REF!,#REF!,#REF!,#REF!</definedName>
    <definedName name="P3_T1?L1.1.1.1" localSheetId="46" hidden="1">#REF!,#REF!,#REF!,#REF!,#REF!,#REF!,#REF!</definedName>
    <definedName name="P3_T1?L1.1.1.1" localSheetId="7" hidden="1">#REF!,#REF!,#REF!,#REF!,#REF!,#REF!,#REF!</definedName>
    <definedName name="P3_T1?L1.1.1.1" hidden="1">#REF!,#REF!,#REF!,#REF!,#REF!,#REF!,#REF!</definedName>
    <definedName name="P3_T1?L1.1.2" localSheetId="15" hidden="1">#REF!,#REF!,#REF!,#REF!,#REF!,#REF!,#REF!,'10-1_К-ция_ПП'!P1_T1?L1.1.2</definedName>
    <definedName name="P3_T1?L1.1.2" localSheetId="21" hidden="1">#REF!,#REF!,#REF!,#REF!,#REF!,#REF!,#REF!,'15_Пер. Расх_дин'!P1_T1?L1.1.2</definedName>
    <definedName name="P3_T1?L1.1.2" localSheetId="46" hidden="1">#REF!,#REF!,#REF!,#REF!,#REF!,#REF!,#REF!,'28_Кан-ция'!P1_T1?L1.1.2</definedName>
    <definedName name="P3_T1?L1.1.2" localSheetId="47" hidden="1">#REF!,#REF!,#REF!,#REF!,#REF!,#REF!,#REF!,P1_T1?L1.1.2</definedName>
    <definedName name="P3_T1?L1.1.2" localSheetId="7" hidden="1">#REF!,#REF!,#REF!,#REF!,#REF!,#REF!,#REF!,'5-2_ЦГ'!P1_T1?L1.1.2</definedName>
    <definedName name="P3_T1?L1.1.2" hidden="1">#REF!,#REF!,#REF!,#REF!,#REF!,#REF!,#REF!,P1_T1?L1.1.2</definedName>
    <definedName name="P3_T1?L1.1.2.1" localSheetId="15" hidden="1">#REF!,#REF!,#REF!,#REF!,#REF!,#REF!,#REF!</definedName>
    <definedName name="P3_T1?L1.1.2.1" localSheetId="21" hidden="1">#REF!,#REF!,#REF!,#REF!,#REF!,#REF!,#REF!</definedName>
    <definedName name="P3_T1?L1.1.2.1" localSheetId="46" hidden="1">#REF!,#REF!,#REF!,#REF!,#REF!,#REF!,#REF!</definedName>
    <definedName name="P3_T1?L1.1.2.1" localSheetId="7" hidden="1">#REF!,#REF!,#REF!,#REF!,#REF!,#REF!,#REF!</definedName>
    <definedName name="P3_T1?L1.1.2.1" hidden="1">#REF!,#REF!,#REF!,#REF!,#REF!,#REF!,#REF!</definedName>
    <definedName name="P3_T1?L1.1.2.1.1" localSheetId="15" hidden="1">#REF!,#REF!,#REF!,#REF!,#REF!,#REF!,#REF!</definedName>
    <definedName name="P3_T1?L1.1.2.1.1" localSheetId="21" hidden="1">#REF!,#REF!,#REF!,#REF!,#REF!,#REF!,#REF!</definedName>
    <definedName name="P3_T1?L1.1.2.1.1" localSheetId="46" hidden="1">#REF!,#REF!,#REF!,#REF!,#REF!,#REF!,#REF!</definedName>
    <definedName name="P3_T1?L1.1.2.1.1" localSheetId="7" hidden="1">#REF!,#REF!,#REF!,#REF!,#REF!,#REF!,#REF!</definedName>
    <definedName name="P3_T1?L1.1.2.1.1" hidden="1">#REF!,#REF!,#REF!,#REF!,#REF!,#REF!,#REF!</definedName>
    <definedName name="P3_T1?L1.1.2.1.2" localSheetId="15" hidden="1">#REF!,#REF!,#REF!,#REF!,#REF!,#REF!,#REF!</definedName>
    <definedName name="P3_T1?L1.1.2.1.2" localSheetId="21" hidden="1">#REF!,#REF!,#REF!,#REF!,#REF!,#REF!,#REF!</definedName>
    <definedName name="P3_T1?L1.1.2.1.2" localSheetId="46" hidden="1">#REF!,#REF!,#REF!,#REF!,#REF!,#REF!,#REF!</definedName>
    <definedName name="P3_T1?L1.1.2.1.2" localSheetId="7" hidden="1">#REF!,#REF!,#REF!,#REF!,#REF!,#REF!,#REF!</definedName>
    <definedName name="P3_T1?L1.1.2.1.2" hidden="1">#REF!,#REF!,#REF!,#REF!,#REF!,#REF!,#REF!</definedName>
    <definedName name="P3_T1?L1.1.2.1.3" localSheetId="15" hidden="1">#REF!,#REF!,#REF!,#REF!,#REF!,#REF!,#REF!</definedName>
    <definedName name="P3_T1?L1.1.2.1.3" localSheetId="21" hidden="1">#REF!,#REF!,#REF!,#REF!,#REF!,#REF!,#REF!</definedName>
    <definedName name="P3_T1?L1.1.2.1.3" localSheetId="46" hidden="1">#REF!,#REF!,#REF!,#REF!,#REF!,#REF!,#REF!</definedName>
    <definedName name="P3_T1?L1.1.2.1.3" localSheetId="7" hidden="1">#REF!,#REF!,#REF!,#REF!,#REF!,#REF!,#REF!</definedName>
    <definedName name="P3_T1?L1.1.2.1.3" hidden="1">#REF!,#REF!,#REF!,#REF!,#REF!,#REF!,#REF!</definedName>
    <definedName name="P3_T1?L1.1.2.2" localSheetId="15" hidden="1">#REF!,#REF!,#REF!,#REF!,#REF!,#REF!,#REF!</definedName>
    <definedName name="P3_T1?L1.1.2.2" localSheetId="21" hidden="1">#REF!,#REF!,#REF!,#REF!,#REF!,#REF!,#REF!</definedName>
    <definedName name="P3_T1?L1.1.2.2" localSheetId="46" hidden="1">#REF!,#REF!,#REF!,#REF!,#REF!,#REF!,#REF!</definedName>
    <definedName name="P3_T1?L1.1.2.2" localSheetId="7" hidden="1">#REF!,#REF!,#REF!,#REF!,#REF!,#REF!,#REF!</definedName>
    <definedName name="P3_T1?L1.1.2.2" hidden="1">#REF!,#REF!,#REF!,#REF!,#REF!,#REF!,#REF!</definedName>
    <definedName name="P3_T1?L1.1.2.3" localSheetId="15" hidden="1">#REF!,#REF!,#REF!,#REF!,#REF!,#REF!,#REF!</definedName>
    <definedName name="P3_T1?L1.1.2.3" localSheetId="21" hidden="1">#REF!,#REF!,#REF!,#REF!,#REF!,#REF!,#REF!</definedName>
    <definedName name="P3_T1?L1.1.2.3" localSheetId="46" hidden="1">#REF!,#REF!,#REF!,#REF!,#REF!,#REF!,#REF!</definedName>
    <definedName name="P3_T1?L1.1.2.3" localSheetId="7" hidden="1">#REF!,#REF!,#REF!,#REF!,#REF!,#REF!,#REF!</definedName>
    <definedName name="P3_T1?L1.1.2.3" hidden="1">#REF!,#REF!,#REF!,#REF!,#REF!,#REF!,#REF!</definedName>
    <definedName name="P3_T1?L1.1.2.4" localSheetId="15" hidden="1">#REF!,#REF!,#REF!,#REF!,#REF!,#REF!,#REF!</definedName>
    <definedName name="P3_T1?L1.1.2.4" localSheetId="21" hidden="1">#REF!,#REF!,#REF!,#REF!,#REF!,#REF!,#REF!</definedName>
    <definedName name="P3_T1?L1.1.2.4" localSheetId="46" hidden="1">#REF!,#REF!,#REF!,#REF!,#REF!,#REF!,#REF!</definedName>
    <definedName name="P3_T1?L1.1.2.4" localSheetId="7" hidden="1">#REF!,#REF!,#REF!,#REF!,#REF!,#REF!,#REF!</definedName>
    <definedName name="P3_T1?L1.1.2.4" hidden="1">#REF!,#REF!,#REF!,#REF!,#REF!,#REF!,#REF!</definedName>
    <definedName name="P3_T1?L1.1.2.5" localSheetId="15" hidden="1">#REF!,#REF!,#REF!,#REF!,#REF!,#REF!,#REF!</definedName>
    <definedName name="P3_T1?L1.1.2.5" localSheetId="21" hidden="1">#REF!,#REF!,#REF!,#REF!,#REF!,#REF!,#REF!</definedName>
    <definedName name="P3_T1?L1.1.2.5" localSheetId="46" hidden="1">#REF!,#REF!,#REF!,#REF!,#REF!,#REF!,#REF!</definedName>
    <definedName name="P3_T1?L1.1.2.5" localSheetId="7" hidden="1">#REF!,#REF!,#REF!,#REF!,#REF!,#REF!,#REF!</definedName>
    <definedName name="P3_T1?L1.1.2.5" hidden="1">#REF!,#REF!,#REF!,#REF!,#REF!,#REF!,#REF!</definedName>
    <definedName name="P3_T1?L1.1.2.6" localSheetId="15" hidden="1">#REF!,#REF!,#REF!,#REF!,#REF!,#REF!,#REF!</definedName>
    <definedName name="P3_T1?L1.1.2.6" localSheetId="21" hidden="1">#REF!,#REF!,#REF!,#REF!,#REF!,#REF!,#REF!</definedName>
    <definedName name="P3_T1?L1.1.2.6" localSheetId="46" hidden="1">#REF!,#REF!,#REF!,#REF!,#REF!,#REF!,#REF!</definedName>
    <definedName name="P3_T1?L1.1.2.6" localSheetId="7" hidden="1">#REF!,#REF!,#REF!,#REF!,#REF!,#REF!,#REF!</definedName>
    <definedName name="P3_T1?L1.1.2.6" hidden="1">#REF!,#REF!,#REF!,#REF!,#REF!,#REF!,#REF!</definedName>
    <definedName name="P3_T1?L1.1.2.7" localSheetId="15" hidden="1">#REF!,#REF!,#REF!,#REF!,#REF!,#REF!,#REF!</definedName>
    <definedName name="P3_T1?L1.1.2.7" localSheetId="21" hidden="1">#REF!,#REF!,#REF!,#REF!,#REF!,#REF!,#REF!</definedName>
    <definedName name="P3_T1?L1.1.2.7" localSheetId="46" hidden="1">#REF!,#REF!,#REF!,#REF!,#REF!,#REF!,#REF!</definedName>
    <definedName name="P3_T1?L1.1.2.7" localSheetId="7" hidden="1">#REF!,#REF!,#REF!,#REF!,#REF!,#REF!,#REF!</definedName>
    <definedName name="P3_T1?L1.1.2.7" hidden="1">#REF!,#REF!,#REF!,#REF!,#REF!,#REF!,#REF!</definedName>
    <definedName name="P3_T1?L1.1.2.7.1" localSheetId="15" hidden="1">#REF!,#REF!,#REF!,#REF!,#REF!,#REF!,#REF!</definedName>
    <definedName name="P3_T1?L1.1.2.7.1" localSheetId="21" hidden="1">#REF!,#REF!,#REF!,#REF!,#REF!,#REF!,#REF!</definedName>
    <definedName name="P3_T1?L1.1.2.7.1" localSheetId="46" hidden="1">#REF!,#REF!,#REF!,#REF!,#REF!,#REF!,#REF!</definedName>
    <definedName name="P3_T1?L1.1.2.7.1" localSheetId="7" hidden="1">#REF!,#REF!,#REF!,#REF!,#REF!,#REF!,#REF!</definedName>
    <definedName name="P3_T1?L1.1.2.7.1" hidden="1">#REF!,#REF!,#REF!,#REF!,#REF!,#REF!,#REF!</definedName>
    <definedName name="P3_T1?M1" localSheetId="15" hidden="1">#REF!,#REF!,#REF!,#REF!,#REF!,#REF!,#REF!,#REF!,#REF!,#REF!,#REF!</definedName>
    <definedName name="P3_T1?M1" localSheetId="21" hidden="1">#REF!,#REF!,#REF!,#REF!,#REF!,#REF!,#REF!,#REF!,#REF!,#REF!,#REF!</definedName>
    <definedName name="P3_T1?M1" localSheetId="46" hidden="1">#REF!,#REF!,#REF!,#REF!,#REF!,#REF!,#REF!,#REF!,#REF!,#REF!,#REF!</definedName>
    <definedName name="P3_T1?M1" localSheetId="7" hidden="1">#REF!,#REF!,#REF!,#REF!,#REF!,#REF!,#REF!,#REF!,#REF!,#REF!,#REF!</definedName>
    <definedName name="P3_T1?M1" hidden="1">#REF!,#REF!,#REF!,#REF!,#REF!,#REF!,#REF!,#REF!,#REF!,#REF!,#REF!</definedName>
    <definedName name="P3_T1?M2" localSheetId="15" hidden="1">#REF!,#REF!,#REF!,#REF!,#REF!,#REF!,#REF!,#REF!,#REF!,#REF!,#REF!</definedName>
    <definedName name="P3_T1?M2" localSheetId="21" hidden="1">#REF!,#REF!,#REF!,#REF!,#REF!,#REF!,#REF!,#REF!,#REF!,#REF!,#REF!</definedName>
    <definedName name="P3_T1?M2" localSheetId="46" hidden="1">#REF!,#REF!,#REF!,#REF!,#REF!,#REF!,#REF!,#REF!,#REF!,#REF!,#REF!</definedName>
    <definedName name="P3_T1?M2" localSheetId="7" hidden="1">#REF!,#REF!,#REF!,#REF!,#REF!,#REF!,#REF!,#REF!,#REF!,#REF!,#REF!</definedName>
    <definedName name="P3_T1?M2" hidden="1">#REF!,#REF!,#REF!,#REF!,#REF!,#REF!,#REF!,#REF!,#REF!,#REF!,#REF!</definedName>
    <definedName name="P3_T1?unit?ГКАЛ" localSheetId="15" hidden="1">#REF!,#REF!,#REF!,#REF!,#REF!,#REF!,#REF!</definedName>
    <definedName name="P3_T1?unit?ГКАЛ" localSheetId="21" hidden="1">#REF!,#REF!,#REF!,#REF!,#REF!,#REF!,#REF!</definedName>
    <definedName name="P3_T1?unit?ГКАЛ" localSheetId="46" hidden="1">#REF!,#REF!,#REF!,#REF!,#REF!,#REF!,#REF!</definedName>
    <definedName name="P3_T1?unit?ГКАЛ" localSheetId="7" hidden="1">#REF!,#REF!,#REF!,#REF!,#REF!,#REF!,#REF!</definedName>
    <definedName name="P3_T1?unit?ГКАЛ" hidden="1">#REF!,#REF!,#REF!,#REF!,#REF!,#REF!,#REF!</definedName>
    <definedName name="P3_T1?unit?РУБ.ГКАЛ" localSheetId="15" hidden="1">#REF!,#REF!,#REF!,#REF!,#REF!,#REF!,#REF!</definedName>
    <definedName name="P3_T1?unit?РУБ.ГКАЛ" localSheetId="21" hidden="1">#REF!,#REF!,#REF!,#REF!,#REF!,#REF!,#REF!</definedName>
    <definedName name="P3_T1?unit?РУБ.ГКАЛ" localSheetId="46" hidden="1">#REF!,#REF!,#REF!,#REF!,#REF!,#REF!,#REF!</definedName>
    <definedName name="P3_T1?unit?РУБ.ГКАЛ" localSheetId="7" hidden="1">#REF!,#REF!,#REF!,#REF!,#REF!,#REF!,#REF!</definedName>
    <definedName name="P3_T1?unit?РУБ.ГКАЛ" hidden="1">#REF!,#REF!,#REF!,#REF!,#REF!,#REF!,#REF!</definedName>
    <definedName name="P3_T1?unit?РУБ.ТОНН" localSheetId="15" hidden="1">#REF!,#REF!,#REF!,#REF!,#REF!,#REF!,#REF!,#REF!,#REF!,#REF!,#REF!</definedName>
    <definedName name="P3_T1?unit?РУБ.ТОНН" localSheetId="21" hidden="1">#REF!,#REF!,#REF!,#REF!,#REF!,#REF!,#REF!,#REF!,#REF!,#REF!,#REF!</definedName>
    <definedName name="P3_T1?unit?РУБ.ТОНН" localSheetId="46" hidden="1">#REF!,#REF!,#REF!,#REF!,#REF!,#REF!,#REF!,#REF!,#REF!,#REF!,#REF!</definedName>
    <definedName name="P3_T1?unit?РУБ.ТОНН" localSheetId="7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15" hidden="1">#REF!,#REF!,#REF!,#REF!,#REF!,#REF!,#REF!</definedName>
    <definedName name="P3_T1?unit?СТР" localSheetId="21" hidden="1">#REF!,#REF!,#REF!,#REF!,#REF!,#REF!,#REF!</definedName>
    <definedName name="P3_T1?unit?СТР" localSheetId="46" hidden="1">#REF!,#REF!,#REF!,#REF!,#REF!,#REF!,#REF!</definedName>
    <definedName name="P3_T1?unit?СТР" localSheetId="7" hidden="1">#REF!,#REF!,#REF!,#REF!,#REF!,#REF!,#REF!</definedName>
    <definedName name="P3_T1?unit?СТР" hidden="1">#REF!,#REF!,#REF!,#REF!,#REF!,#REF!,#REF!</definedName>
    <definedName name="P3_T1?unit?ТОНН" localSheetId="15" hidden="1">#REF!,#REF!,#REF!,#REF!,#REF!,#REF!,#REF!,#REF!,#REF!,#REF!,#REF!</definedName>
    <definedName name="P3_T1?unit?ТОНН" localSheetId="21" hidden="1">#REF!,#REF!,#REF!,#REF!,#REF!,#REF!,#REF!,#REF!,#REF!,#REF!,#REF!</definedName>
    <definedName name="P3_T1?unit?ТОНН" localSheetId="46" hidden="1">#REF!,#REF!,#REF!,#REF!,#REF!,#REF!,#REF!,#REF!,#REF!,#REF!,#REF!</definedName>
    <definedName name="P3_T1?unit?ТОНН" localSheetId="7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15" hidden="1">#REF!,#REF!,#REF!,#REF!,#REF!,#REF!,#REF!</definedName>
    <definedName name="P3_T1?unit?ТРУБ" localSheetId="21" hidden="1">#REF!,#REF!,#REF!,#REF!,#REF!,#REF!,#REF!</definedName>
    <definedName name="P3_T1?unit?ТРУБ" localSheetId="46" hidden="1">#REF!,#REF!,#REF!,#REF!,#REF!,#REF!,#REF!</definedName>
    <definedName name="P3_T1?unit?ТРУБ" localSheetId="7" hidden="1">#REF!,#REF!,#REF!,#REF!,#REF!,#REF!,#REF!</definedName>
    <definedName name="P3_T1?unit?ТРУБ" hidden="1">#REF!,#REF!,#REF!,#REF!,#REF!,#REF!,#REF!</definedName>
    <definedName name="P3_T17_Protection">'[24]29'!$F$53:$G$53,'[24]29'!$F$55:$G$59,'[24]29'!$I$55:$J$59,'[24]29'!$I$53:$J$53,'[24]29'!$I$47:$J$51,'[24]29'!$I$45:$J$45,'[24]29'!$I$38:$J$42,'[24]29'!$I$36:$J$36</definedName>
    <definedName name="P3_T2.2?Protection">'[28]2007 (Max)'!$O$27:$P$31,'[28]2007 (Max)'!$G$34:$H$35,'[28]2007 (Max)'!$K$34:$L$35,'[28]2007 (Max)'!$O$34:$P$35,'[28]2007 (Max)'!$G$38:$H$38</definedName>
    <definedName name="P3_T21_Protection" localSheetId="47">'[24]21'!$E$31:$E$33,'[24]21'!$G$31:$K$33,'[24]21'!$B$14:$B$16,'[24]21'!$B$20:$B$22,'[24]21'!$B$26:$B$28,'[24]21'!$B$31:$B$33,'[24]21'!$M$31:$M$33,P1_T21_Protection</definedName>
    <definedName name="P3_T21_Protection">'[24]21'!$E$31:$E$33,'[24]21'!$G$31:$K$33,'[24]21'!$B$14:$B$16,'[24]21'!$B$20:$B$22,'[24]21'!$B$26:$B$28,'[24]21'!$B$31:$B$33,'[24]21'!$M$31:$M$33,P1_T21_Protection</definedName>
    <definedName name="P3_T27_Protection">'[24]27'!$K$34:$N$36,'[24]27'!$P$8:$S$8,'[24]27'!$P$10:$S$11,'[24]27'!$P$13:$S$15,'[24]27'!$P$18:$S$19,'[24]27'!$P$22:$S$24,'[24]27'!$P$26:$S$26,'[24]27'!$P$29:$S$32</definedName>
    <definedName name="P3_T28_Protection">'[24]28'!$B$172:$B$174,'[24]28'!$B$178:$B$180,'[24]28'!$B$184:$B$186,'[24]28'!$B$193:$B$195,'[24]28'!$B$198:$B$200,'[24]28'!$B$204:$B$206,'[24]28'!$B$210:$B$212</definedName>
    <definedName name="P3_T28?axis?R?ПЭ">'[24]28'!$D$120:$I$122,'[24]28'!$D$126:$I$128,'[24]28'!$D$132:$I$134,'[24]28'!$D$141:$I$143,'[24]28'!$D$146:$I$148,'[24]28'!$D$152:$I$154,'[24]28'!$D$158:$I$160</definedName>
    <definedName name="P3_T28?axis?R?ПЭ?">'[24]28'!$B$120:$B$122,'[24]28'!$B$126:$B$128,'[24]28'!$B$132:$B$134,'[24]28'!$B$141:$B$143,'[24]28'!$B$146:$B$148,'[24]28'!$B$152:$B$154,'[24]28'!$B$158:$B$160</definedName>
    <definedName name="p4_" localSheetId="15">#REF!</definedName>
    <definedName name="p4_" localSheetId="21">#REF!</definedName>
    <definedName name="p4_" localSheetId="46">#REF!</definedName>
    <definedName name="p4_" localSheetId="47">#REF!</definedName>
    <definedName name="p4_" localSheetId="7">#REF!</definedName>
    <definedName name="p4_">#REF!</definedName>
    <definedName name="P4_dip" hidden="1">[23]FST5!$G$70:$G$75,[23]FST5!$G$77:$G$78,[23]FST5!$G$80:$G$83,[23]FST5!$G$85,[23]FST5!$G$87:$G$91,[23]FST5!$G$93,[23]FST5!$G$95:$G$97,[23]FST5!$G$52:$G$68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?Data" localSheetId="15" hidden="1">#REF!,#REF!,#REF!,#REF!,#REF!,#REF!,#REF!</definedName>
    <definedName name="P4_T1?Data" localSheetId="21" hidden="1">#REF!,#REF!,#REF!,#REF!,#REF!,#REF!,#REF!</definedName>
    <definedName name="P4_T1?Data" localSheetId="46" hidden="1">#REF!,#REF!,#REF!,#REF!,#REF!,#REF!,#REF!</definedName>
    <definedName name="P4_T1?Data" localSheetId="7" hidden="1">#REF!,#REF!,#REF!,#REF!,#REF!,#REF!,#REF!</definedName>
    <definedName name="P4_T1?Data" hidden="1">#REF!,#REF!,#REF!,#REF!,#REF!,#REF!,#REF!</definedName>
    <definedName name="P4_T1?unit?ГКАЛ" localSheetId="15" hidden="1">#REF!,#REF!,#REF!,#REF!,#REF!,#REF!,#REF!</definedName>
    <definedName name="P4_T1?unit?ГКАЛ" localSheetId="21" hidden="1">#REF!,#REF!,#REF!,#REF!,#REF!,#REF!,#REF!</definedName>
    <definedName name="P4_T1?unit?ГКАЛ" localSheetId="46" hidden="1">#REF!,#REF!,#REF!,#REF!,#REF!,#REF!,#REF!</definedName>
    <definedName name="P4_T1?unit?ГКАЛ" localSheetId="7" hidden="1">#REF!,#REF!,#REF!,#REF!,#REF!,#REF!,#REF!</definedName>
    <definedName name="P4_T1?unit?ГКАЛ" hidden="1">#REF!,#REF!,#REF!,#REF!,#REF!,#REF!,#REF!</definedName>
    <definedName name="P4_T1?unit?РУБ.ГКАЛ" localSheetId="15" hidden="1">#REF!,#REF!,#REF!,#REF!,#REF!,#REF!,#REF!</definedName>
    <definedName name="P4_T1?unit?РУБ.ГКАЛ" localSheetId="21" hidden="1">#REF!,#REF!,#REF!,#REF!,#REF!,#REF!,#REF!</definedName>
    <definedName name="P4_T1?unit?РУБ.ГКАЛ" localSheetId="46" hidden="1">#REF!,#REF!,#REF!,#REF!,#REF!,#REF!,#REF!</definedName>
    <definedName name="P4_T1?unit?РУБ.ГКАЛ" localSheetId="7" hidden="1">#REF!,#REF!,#REF!,#REF!,#REF!,#REF!,#REF!</definedName>
    <definedName name="P4_T1?unit?РУБ.ГКАЛ" hidden="1">#REF!,#REF!,#REF!,#REF!,#REF!,#REF!,#REF!</definedName>
    <definedName name="P4_T1?unit?РУБ.ТОНН" localSheetId="15" hidden="1">#REF!,#REF!,#REF!,#REF!,#REF!,#REF!,#REF!,#REF!,#REF!,#REF!,#REF!</definedName>
    <definedName name="P4_T1?unit?РУБ.ТОНН" localSheetId="21" hidden="1">#REF!,#REF!,#REF!,#REF!,#REF!,#REF!,#REF!,#REF!,#REF!,#REF!,#REF!</definedName>
    <definedName name="P4_T1?unit?РУБ.ТОНН" localSheetId="46" hidden="1">#REF!,#REF!,#REF!,#REF!,#REF!,#REF!,#REF!,#REF!,#REF!,#REF!,#REF!</definedName>
    <definedName name="P4_T1?unit?РУБ.ТОНН" localSheetId="7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15" hidden="1">#REF!,#REF!,#REF!,#REF!,#REF!,#REF!,#REF!</definedName>
    <definedName name="P4_T1?unit?СТР" localSheetId="21" hidden="1">#REF!,#REF!,#REF!,#REF!,#REF!,#REF!,#REF!</definedName>
    <definedName name="P4_T1?unit?СТР" localSheetId="46" hidden="1">#REF!,#REF!,#REF!,#REF!,#REF!,#REF!,#REF!</definedName>
    <definedName name="P4_T1?unit?СТР" localSheetId="7" hidden="1">#REF!,#REF!,#REF!,#REF!,#REF!,#REF!,#REF!</definedName>
    <definedName name="P4_T1?unit?СТР" hidden="1">#REF!,#REF!,#REF!,#REF!,#REF!,#REF!,#REF!</definedName>
    <definedName name="P4_T1?unit?ТОНН" localSheetId="15" hidden="1">#REF!,#REF!,#REF!,#REF!,#REF!,#REF!,#REF!,#REF!,#REF!,#REF!,#REF!</definedName>
    <definedName name="P4_T1?unit?ТОНН" localSheetId="21" hidden="1">#REF!,#REF!,#REF!,#REF!,#REF!,#REF!,#REF!,#REF!,#REF!,#REF!,#REF!</definedName>
    <definedName name="P4_T1?unit?ТОНН" localSheetId="46" hidden="1">#REF!,#REF!,#REF!,#REF!,#REF!,#REF!,#REF!,#REF!,#REF!,#REF!,#REF!</definedName>
    <definedName name="P4_T1?unit?ТОНН" localSheetId="7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15" hidden="1">#REF!,#REF!,#REF!,#REF!,#REF!,#REF!,#REF!</definedName>
    <definedName name="P4_T1?unit?ТРУБ" localSheetId="21" hidden="1">#REF!,#REF!,#REF!,#REF!,#REF!,#REF!,#REF!</definedName>
    <definedName name="P4_T1?unit?ТРУБ" localSheetId="46" hidden="1">#REF!,#REF!,#REF!,#REF!,#REF!,#REF!,#REF!</definedName>
    <definedName name="P4_T1?unit?ТРУБ" localSheetId="7" hidden="1">#REF!,#REF!,#REF!,#REF!,#REF!,#REF!,#REF!</definedName>
    <definedName name="P4_T1?unit?ТРУБ" hidden="1">#REF!,#REF!,#REF!,#REF!,#REF!,#REF!,#REF!</definedName>
    <definedName name="P4_T17_Protection">'[24]29'!$I$29:$J$33,'[24]29'!$I$27:$J$27,'[24]29'!$I$21:$J$25,'[24]29'!$I$19:$J$19,'[24]29'!$I$12:$J$16,'[24]29'!$I$10:$J$10,'[24]29'!$L$10:$M$10,'[24]29'!$L$12:$M$16</definedName>
    <definedName name="P4_T2.1?Protection">'[28]2007 (Min)'!$G$14:$H$15,'[28]2007 (Min)'!$K$14:$L$15,'[28]2007 (Min)'!$O$14:$P$15,'[28]2007 (Min)'!$G$17:$H$21,'[28]2007 (Min)'!$K$17:$L$21</definedName>
    <definedName name="P4_T2.2?Protection">'[28]2007 (Max)'!$K$40:$L$42,'[28]2007 (Max)'!$O$40:$P$42,'[28]2007 (Max)'!$G$47:$H$47,'[28]2007 (Max)'!$K$47:$L$47,'[28]2007 (Max)'!$O$47:$P$47</definedName>
    <definedName name="P4_T28_Protection">'[24]28'!$B$219:$B$221,'[24]28'!$B$224:$B$226,'[24]28'!$B$230:$B$232,'[24]28'!$B$236:$B$238,'[24]28'!$B$245:$B$247,'[24]28'!$B$250:$B$252,'[24]28'!$B$256:$B$258</definedName>
    <definedName name="P4_T28?axis?R?ПЭ">'[24]28'!$D$167:$I$169,'[24]28'!$D$172:$I$174,'[24]28'!$D$178:$I$180,'[24]28'!$D$184:$I$186,'[24]28'!$D$193:$I$195,'[24]28'!$D$198:$I$200,'[24]28'!$D$204:$I$206</definedName>
    <definedName name="P4_T28?axis?R?ПЭ?">'[24]28'!$B$167:$B$169,'[24]28'!$B$172:$B$174,'[24]28'!$B$178:$B$180,'[24]28'!$B$184:$B$186,'[24]28'!$B$193:$B$195,'[24]28'!$B$198:$B$200,'[24]28'!$B$204:$B$206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?Data" localSheetId="15" hidden="1">#REF!,#REF!,#REF!,#REF!,#REF!,#REF!,#REF!</definedName>
    <definedName name="P5_T1?Data" localSheetId="21" hidden="1">#REF!,#REF!,#REF!,#REF!,#REF!,#REF!,#REF!</definedName>
    <definedName name="P5_T1?Data" localSheetId="46" hidden="1">#REF!,#REF!,#REF!,#REF!,#REF!,#REF!,#REF!</definedName>
    <definedName name="P5_T1?Data" localSheetId="7" hidden="1">#REF!,#REF!,#REF!,#REF!,#REF!,#REF!,#REF!</definedName>
    <definedName name="P5_T1?Data" hidden="1">#REF!,#REF!,#REF!,#REF!,#REF!,#REF!,#REF!</definedName>
    <definedName name="P5_T1?unit?ГКАЛ" localSheetId="15" hidden="1">#REF!,#REF!,#REF!,#REF!,#REF!,#REF!,#REF!</definedName>
    <definedName name="P5_T1?unit?ГКАЛ" localSheetId="21" hidden="1">#REF!,#REF!,#REF!,#REF!,#REF!,#REF!,#REF!</definedName>
    <definedName name="P5_T1?unit?ГКАЛ" localSheetId="46" hidden="1">#REF!,#REF!,#REF!,#REF!,#REF!,#REF!,#REF!</definedName>
    <definedName name="P5_T1?unit?ГКАЛ" localSheetId="7" hidden="1">#REF!,#REF!,#REF!,#REF!,#REF!,#REF!,#REF!</definedName>
    <definedName name="P5_T1?unit?ГКАЛ" hidden="1">#REF!,#REF!,#REF!,#REF!,#REF!,#REF!,#REF!</definedName>
    <definedName name="P5_T1?unit?РУБ.ГКАЛ" localSheetId="15" hidden="1">#REF!,#REF!,#REF!,#REF!,#REF!,#REF!,#REF!</definedName>
    <definedName name="P5_T1?unit?РУБ.ГКАЛ" localSheetId="21" hidden="1">#REF!,#REF!,#REF!,#REF!,#REF!,#REF!,#REF!</definedName>
    <definedName name="P5_T1?unit?РУБ.ГКАЛ" localSheetId="46" hidden="1">#REF!,#REF!,#REF!,#REF!,#REF!,#REF!,#REF!</definedName>
    <definedName name="P5_T1?unit?РУБ.ГКАЛ" localSheetId="7" hidden="1">#REF!,#REF!,#REF!,#REF!,#REF!,#REF!,#REF!</definedName>
    <definedName name="P5_T1?unit?РУБ.ГКАЛ" hidden="1">#REF!,#REF!,#REF!,#REF!,#REF!,#REF!,#REF!</definedName>
    <definedName name="P5_T1?unit?РУБ.ТОНН" localSheetId="15" hidden="1">#REF!,#REF!,#REF!,#REF!,#REF!,#REF!,'10-1_К-ция_ПП'!P1_T1?unit?РУБ.ТОНН,'10-1_К-ция_ПП'!P2_T1?unit?РУБ.ТОНН,'10-1_К-ция_ПП'!P3_T1?unit?РУБ.ТОНН</definedName>
    <definedName name="P5_T1?unit?РУБ.ТОНН" localSheetId="21" hidden="1">#REF!,#REF!,#REF!,#REF!,#REF!,#REF!,'15_Пер. Расх_дин'!P1_T1?unit?РУБ.ТОНН,'15_Пер. Расх_дин'!P2_T1?unit?РУБ.ТОНН,'15_Пер. Расх_дин'!P3_T1?unit?РУБ.ТОНН</definedName>
    <definedName name="P5_T1?unit?РУБ.ТОНН" localSheetId="46" hidden="1">#REF!,#REF!,#REF!,#REF!,#REF!,#REF!,'28_Кан-ция'!P1_T1?unit?РУБ.ТОНН,'28_Кан-ция'!P2_T1?unit?РУБ.ТОНН,'28_Кан-ция'!P3_T1?unit?РУБ.ТОНН</definedName>
    <definedName name="P5_T1?unit?РУБ.ТОНН" localSheetId="47" hidden="1">#REF!,#REF!,#REF!,#REF!,#REF!,#REF!,P1_T1?unit?РУБ.ТОНН,P2_T1?unit?РУБ.ТОНН,P3_T1?unit?РУБ.ТОНН</definedName>
    <definedName name="P5_T1?unit?РУБ.ТОНН" localSheetId="7" hidden="1">#REF!,#REF!,#REF!,#REF!,#REF!,#REF!,'5-2_ЦГ'!P1_T1?unit?РУБ.ТОНН,'5-2_ЦГ'!P2_T1?unit?РУБ.ТОНН,'5-2_ЦГ'!P3_T1?unit?РУБ.ТОНН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15" hidden="1">#REF!,#REF!,#REF!,#REF!,#REF!,#REF!,#REF!</definedName>
    <definedName name="P5_T1?unit?СТР" localSheetId="21" hidden="1">#REF!,#REF!,#REF!,#REF!,#REF!,#REF!,#REF!</definedName>
    <definedName name="P5_T1?unit?СТР" localSheetId="46" hidden="1">#REF!,#REF!,#REF!,#REF!,#REF!,#REF!,#REF!</definedName>
    <definedName name="P5_T1?unit?СТР" localSheetId="7" hidden="1">#REF!,#REF!,#REF!,#REF!,#REF!,#REF!,#REF!</definedName>
    <definedName name="P5_T1?unit?СТР" hidden="1">#REF!,#REF!,#REF!,#REF!,#REF!,#REF!,#REF!</definedName>
    <definedName name="P5_T1?unit?ТРУБ" localSheetId="15" hidden="1">#REF!,#REF!,#REF!,#REF!,#REF!,#REF!,#REF!</definedName>
    <definedName name="P5_T1?unit?ТРУБ" localSheetId="21" hidden="1">#REF!,#REF!,#REF!,#REF!,#REF!,#REF!,#REF!</definedName>
    <definedName name="P5_T1?unit?ТРУБ" localSheetId="46" hidden="1">#REF!,#REF!,#REF!,#REF!,#REF!,#REF!,#REF!</definedName>
    <definedName name="P5_T1?unit?ТРУБ" localSheetId="7" hidden="1">#REF!,#REF!,#REF!,#REF!,#REF!,#REF!,#REF!</definedName>
    <definedName name="P5_T1?unit?ТРУБ" hidden="1">#REF!,#REF!,#REF!,#REF!,#REF!,#REF!,#REF!</definedName>
    <definedName name="P5_T17_Protection">'[24]29'!$L$19:$M$19,'[24]29'!$L$21:$M$27,'[24]29'!$L$29:$M$33,'[24]29'!$L$36:$M$36,'[24]29'!$L$38:$M$42,'[24]29'!$L$45:$M$45,'[24]29'!$O$10:$P$10,'[24]29'!$O$12:$P$16</definedName>
    <definedName name="P5_T2.1?Protection">'[28]2007 (Min)'!$G$25:$H$25,'[28]2007 (Min)'!$K$25:$L$25,'[28]2007 (Min)'!$O$25:$P$25,'[28]2007 (Min)'!$G$27:$H$31,'[28]2007 (Min)'!$K$27:$L$31</definedName>
    <definedName name="P5_T28_Protection">'[24]28'!$B$262:$B$264,'[24]28'!$B$271:$B$273,'[24]28'!$B$276:$B$278,'[24]28'!$B$282:$B$284,'[24]28'!$B$288:$B$291,'[24]28'!$B$11:$B$13,'[24]28'!$B$16:$B$18,'[24]28'!$B$22:$B$24</definedName>
    <definedName name="P5_T28?axis?R?ПЭ">'[24]28'!$D$210:$I$212,'[24]28'!$D$219:$I$221,'[24]28'!$D$224:$I$226,'[24]28'!$D$230:$I$232,'[24]28'!$D$236:$I$238,'[24]28'!$D$245:$I$247,'[24]28'!$D$250:$I$252</definedName>
    <definedName name="P5_T28?axis?R?ПЭ?">'[24]28'!$B$210:$B$212,'[24]28'!$B$219:$B$221,'[24]28'!$B$224:$B$226,'[24]28'!$B$230:$B$232,'[24]28'!$B$236:$B$238,'[24]28'!$B$245:$B$247,'[24]28'!$B$250:$B$252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?Data" localSheetId="15" hidden="1">#REF!,#REF!,#REF!,#REF!,#REF!,#REF!,#REF!</definedName>
    <definedName name="P6_T1?Data" localSheetId="21" hidden="1">#REF!,#REF!,#REF!,#REF!,#REF!,#REF!,#REF!</definedName>
    <definedName name="P6_T1?Data" localSheetId="46" hidden="1">#REF!,#REF!,#REF!,#REF!,#REF!,#REF!,#REF!</definedName>
    <definedName name="P6_T1?Data" localSheetId="7" hidden="1">#REF!,#REF!,#REF!,#REF!,#REF!,#REF!,#REF!</definedName>
    <definedName name="P6_T1?Data" hidden="1">#REF!,#REF!,#REF!,#REF!,#REF!,#REF!,#REF!</definedName>
    <definedName name="P6_T1?unit?ГКАЛ" localSheetId="15" hidden="1">#REF!,#REF!,#REF!,#REF!,#REF!,#REF!,#REF!</definedName>
    <definedName name="P6_T1?unit?ГКАЛ" localSheetId="21" hidden="1">#REF!,#REF!,#REF!,#REF!,#REF!,#REF!,#REF!</definedName>
    <definedName name="P6_T1?unit?ГКАЛ" localSheetId="46" hidden="1">#REF!,#REF!,#REF!,#REF!,#REF!,#REF!,#REF!</definedName>
    <definedName name="P6_T1?unit?ГКАЛ" localSheetId="7" hidden="1">#REF!,#REF!,#REF!,#REF!,#REF!,#REF!,#REF!</definedName>
    <definedName name="P6_T1?unit?ГКАЛ" hidden="1">#REF!,#REF!,#REF!,#REF!,#REF!,#REF!,#REF!</definedName>
    <definedName name="P6_T1?unit?РУБ.ГКАЛ" localSheetId="15" hidden="1">#REF!,#REF!,#REF!,#REF!,#REF!,#REF!,#REF!</definedName>
    <definedName name="P6_T1?unit?РУБ.ГКАЛ" localSheetId="21" hidden="1">#REF!,#REF!,#REF!,#REF!,#REF!,#REF!,#REF!</definedName>
    <definedName name="P6_T1?unit?РУБ.ГКАЛ" localSheetId="46" hidden="1">#REF!,#REF!,#REF!,#REF!,#REF!,#REF!,#REF!</definedName>
    <definedName name="P6_T1?unit?РУБ.ГКАЛ" localSheetId="7" hidden="1">#REF!,#REF!,#REF!,#REF!,#REF!,#REF!,#REF!</definedName>
    <definedName name="P6_T1?unit?РУБ.ГКАЛ" hidden="1">#REF!,#REF!,#REF!,#REF!,#REF!,#REF!,#REF!</definedName>
    <definedName name="P6_T1?unit?СТР" localSheetId="15" hidden="1">#REF!,#REF!,#REF!,#REF!,#REF!,#REF!,#REF!,'10-1_К-ция_ПП'!P1_T1?unit?СТР</definedName>
    <definedName name="P6_T1?unit?СТР" localSheetId="21" hidden="1">#REF!,#REF!,#REF!,#REF!,#REF!,#REF!,#REF!,'15_Пер. Расх_дин'!P1_T1?unit?СТР</definedName>
    <definedName name="P6_T1?unit?СТР" localSheetId="46" hidden="1">#REF!,#REF!,#REF!,#REF!,#REF!,#REF!,#REF!,'28_Кан-ция'!P1_T1?unit?СТР</definedName>
    <definedName name="P6_T1?unit?СТР" localSheetId="47" hidden="1">#REF!,#REF!,#REF!,#REF!,#REF!,#REF!,#REF!,P1_T1?unit?СТР</definedName>
    <definedName name="P6_T1?unit?СТР" localSheetId="7" hidden="1">#REF!,#REF!,#REF!,#REF!,#REF!,#REF!,#REF!,'5-2_ЦГ'!P1_T1?unit?СТР</definedName>
    <definedName name="P6_T1?unit?СТР" hidden="1">#REF!,#REF!,#REF!,#REF!,#REF!,#REF!,#REF!,P1_T1?unit?СТР</definedName>
    <definedName name="P6_T1?unit?ТРУБ" localSheetId="15" hidden="1">#REF!,#REF!,#REF!,#REF!,#REF!,#REF!,#REF!</definedName>
    <definedName name="P6_T1?unit?ТРУБ" localSheetId="21" hidden="1">#REF!,#REF!,#REF!,#REF!,#REF!,#REF!,#REF!</definedName>
    <definedName name="P6_T1?unit?ТРУБ" localSheetId="46" hidden="1">#REF!,#REF!,#REF!,#REF!,#REF!,#REF!,#REF!</definedName>
    <definedName name="P6_T1?unit?ТРУБ" localSheetId="7" hidden="1">#REF!,#REF!,#REF!,#REF!,#REF!,#REF!,#REF!</definedName>
    <definedName name="P6_T1?unit?ТРУБ" hidden="1">#REF!,#REF!,#REF!,#REF!,#REF!,#REF!,#REF!</definedName>
    <definedName name="P6_T17_Protection" localSheetId="47">'[24]29'!$O$19:$P$19,'[24]29'!$O$21:$P$25,'[24]29'!$O$27:$P$27,'[24]29'!$O$29:$P$33,'[24]29'!$O$36:$P$36,'[24]29'!$O$38:$P$42,'[24]29'!$O$45:$P$45,P1_T17_Protection</definedName>
    <definedName name="P6_T17_Protection">'[24]29'!$O$19:$P$19,'[24]29'!$O$21:$P$25,'[24]29'!$O$27:$P$27,'[24]29'!$O$29:$P$33,'[24]29'!$O$36:$P$36,'[24]29'!$O$38:$P$42,'[24]29'!$O$45:$P$45,P1_T17_Protection</definedName>
    <definedName name="P6_T2.1?Protection" localSheetId="15">'[28]2007 (Min)'!$K$44:$L$44,'[28]2007 (Min)'!$O$44:$P$44,'[28]2007 (Min)'!$O$27:$P$31,[0]!P1_T2.1?Protection,[0]!P2_T2.1?Protection,P3_T2.1?Protection</definedName>
    <definedName name="P6_T2.1?Protection" localSheetId="21">'[28]2007 (Min)'!$K$44:$L$44,'[28]2007 (Min)'!$O$44:$P$44,'[28]2007 (Min)'!$O$27:$P$31,[0]!P1_T2.1?Protection,[0]!P2_T2.1?Protection,P3_T2.1?Protection</definedName>
    <definedName name="P6_T2.1?Protection" localSheetId="46">'[28]2007 (Min)'!$K$44:$L$44,'[28]2007 (Min)'!$O$44:$P$44,'[28]2007 (Min)'!$O$27:$P$31,[0]!P1_T2.1?Protection,[0]!P2_T2.1?Protection,P3_T2.1?Protection</definedName>
    <definedName name="P6_T2.1?Protection" localSheetId="47">'[28]2007 (Min)'!$K$44:$L$44,'[28]2007 (Min)'!$O$44:$P$44,'[28]2007 (Min)'!$O$27:$P$31,P1_T2.1?Protection,P2_T2.1?Protection,P3_T2.1?Protection</definedName>
    <definedName name="P6_T2.1?Protection" localSheetId="7">'[28]2007 (Min)'!$K$44:$L$44,'[28]2007 (Min)'!$O$44:$P$44,'[28]2007 (Min)'!$O$27:$P$31,[0]!P1_T2.1?Protection,[0]!P2_T2.1?Protection,P3_T2.1?Protection</definedName>
    <definedName name="P6_T2.1?Protection">'[28]2007 (Min)'!$K$44:$L$44,'[28]2007 (Min)'!$O$44:$P$44,'[28]2007 (Min)'!$O$27:$P$31,P1_T2.1?Protection,P2_T2.1?Protection,P3_T2.1?Protection</definedName>
    <definedName name="P6_T28_Protection">'[24]28'!$B$28:$B$30,'[24]28'!$B$37:$B$39,'[24]28'!$B$42:$B$44,'[24]28'!$B$48:$B$50,'[24]28'!$B$54:$B$56,'[24]28'!$B$63:$B$65,'[24]28'!$G$210:$H$212,'[24]28'!$D$11:$E$13</definedName>
    <definedName name="P6_T28?axis?R?ПЭ" localSheetId="47">'[24]28'!$D$256:$I$258,'[24]28'!$D$262:$I$264,'[24]28'!$D$271:$I$273,'[24]28'!$D$276:$I$278,'[24]28'!$D$282:$I$284,'[24]28'!$D$288:$I$291,'[24]28'!$D$11:$I$13,P1_T28?axis?R?ПЭ</definedName>
    <definedName name="P6_T28?axis?R?ПЭ">'[24]28'!$D$256:$I$258,'[24]28'!$D$262:$I$264,'[24]28'!$D$271:$I$273,'[24]28'!$D$276:$I$278,'[24]28'!$D$282:$I$284,'[24]28'!$D$288:$I$291,'[24]28'!$D$11:$I$13,P1_T28?axis?R?ПЭ</definedName>
    <definedName name="P6_T28?axis?R?ПЭ?" localSheetId="47">'[24]28'!$B$256:$B$258,'[24]28'!$B$262:$B$264,'[24]28'!$B$271:$B$273,'[24]28'!$B$276:$B$278,'[24]28'!$B$282:$B$284,'[24]28'!$B$288:$B$291,'[24]28'!$B$11:$B$13,P1_T28?axis?R?ПЭ?</definedName>
    <definedName name="P6_T28?axis?R?ПЭ?">'[24]28'!$B$256:$B$258,'[24]28'!$B$262:$B$264,'[24]28'!$B$271:$B$273,'[24]28'!$B$276:$B$278,'[24]28'!$B$282:$B$284,'[24]28'!$B$288:$B$291,'[24]28'!$B$11:$B$13,P1_T28?axis?R?ПЭ?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1?Data" localSheetId="15" hidden="1">#REF!,#REF!,#REF!,#REF!,#REF!,#REF!,#REF!</definedName>
    <definedName name="P7_T1?Data" localSheetId="21" hidden="1">#REF!,#REF!,#REF!,#REF!,#REF!,#REF!,#REF!</definedName>
    <definedName name="P7_T1?Data" localSheetId="46" hidden="1">#REF!,#REF!,#REF!,#REF!,#REF!,#REF!,#REF!</definedName>
    <definedName name="P7_T1?Data" localSheetId="7" hidden="1">#REF!,#REF!,#REF!,#REF!,#REF!,#REF!,#REF!</definedName>
    <definedName name="P7_T1?Data" hidden="1">#REF!,#REF!,#REF!,#REF!,#REF!,#REF!,#REF!</definedName>
    <definedName name="P7_T1?unit?ТРУБ" localSheetId="15" hidden="1">#REF!,#REF!,#REF!,#REF!,#REF!,#REF!,#REF!</definedName>
    <definedName name="P7_T1?unit?ТРУБ" localSheetId="21" hidden="1">#REF!,#REF!,#REF!,#REF!,#REF!,#REF!,#REF!</definedName>
    <definedName name="P7_T1?unit?ТРУБ" localSheetId="46" hidden="1">#REF!,#REF!,#REF!,#REF!,#REF!,#REF!,#REF!</definedName>
    <definedName name="P7_T1?unit?ТРУБ" localSheetId="7" hidden="1">#REF!,#REF!,#REF!,#REF!,#REF!,#REF!,#REF!</definedName>
    <definedName name="P7_T1?unit?ТРУБ" hidden="1">#REF!,#REF!,#REF!,#REF!,#REF!,#REF!,#REF!</definedName>
    <definedName name="P7_T28_Protection">'[24]28'!$G$11:$H$13,'[24]28'!$D$16:$E$18,'[24]28'!$G$16:$H$18,'[24]28'!$D$22:$E$24,'[24]28'!$G$22:$H$24,'[24]28'!$D$28:$E$30,'[24]28'!$G$28:$H$30,'[24]28'!$D$37:$E$39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1?Data" localSheetId="15" hidden="1">#REF!,#REF!,#REF!,#REF!,#REF!,#REF!,#REF!</definedName>
    <definedName name="P8_T1?Data" localSheetId="21" hidden="1">#REF!,#REF!,#REF!,#REF!,#REF!,#REF!,#REF!</definedName>
    <definedName name="P8_T1?Data" localSheetId="46" hidden="1">#REF!,#REF!,#REF!,#REF!,#REF!,#REF!,#REF!</definedName>
    <definedName name="P8_T1?Data" localSheetId="7" hidden="1">#REF!,#REF!,#REF!,#REF!,#REF!,#REF!,#REF!</definedName>
    <definedName name="P8_T1?Data" hidden="1">#REF!,#REF!,#REF!,#REF!,#REF!,#REF!,#REF!</definedName>
    <definedName name="P8_T1?unit?ТРУБ" localSheetId="15" hidden="1">#REF!,#REF!,#REF!,#REF!,#REF!,#REF!,#REF!</definedName>
    <definedName name="P8_T1?unit?ТРУБ" localSheetId="21" hidden="1">#REF!,#REF!,#REF!,#REF!,#REF!,#REF!,#REF!</definedName>
    <definedName name="P8_T1?unit?ТРУБ" localSheetId="46" hidden="1">#REF!,#REF!,#REF!,#REF!,#REF!,#REF!,#REF!</definedName>
    <definedName name="P8_T1?unit?ТРУБ" localSheetId="7" hidden="1">#REF!,#REF!,#REF!,#REF!,#REF!,#REF!,#REF!</definedName>
    <definedName name="P8_T1?unit?ТРУБ" hidden="1">#REF!,#REF!,#REF!,#REF!,#REF!,#REF!,#REF!</definedName>
    <definedName name="P8_T28_Protection">'[24]28'!$G$37:$H$39,'[24]28'!$D$42:$E$44,'[24]28'!$G$42:$H$44,'[24]28'!$D$48:$E$50,'[24]28'!$G$48:$H$50,'[24]28'!$D$54:$E$56,'[24]28'!$G$54:$H$56,'[24]28'!$D$89:$E$91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1?Data" localSheetId="15" hidden="1">#REF!,#REF!,#REF!,#REF!,#REF!,#REF!,#REF!</definedName>
    <definedName name="P9_T1?Data" localSheetId="21" hidden="1">#REF!,#REF!,#REF!,#REF!,#REF!,#REF!,#REF!</definedName>
    <definedName name="P9_T1?Data" localSheetId="46" hidden="1">#REF!,#REF!,#REF!,#REF!,#REF!,#REF!,#REF!</definedName>
    <definedName name="P9_T1?Data" localSheetId="7" hidden="1">#REF!,#REF!,#REF!,#REF!,#REF!,#REF!,#REF!</definedName>
    <definedName name="P9_T1?Data" hidden="1">#REF!,#REF!,#REF!,#REF!,#REF!,#REF!,#REF!</definedName>
    <definedName name="P9_T1?unit?ТРУБ" localSheetId="15" hidden="1">#REF!,#REF!,#REF!,#REF!,#REF!,#REF!,#REF!</definedName>
    <definedName name="P9_T1?unit?ТРУБ" localSheetId="21" hidden="1">#REF!,#REF!,#REF!,#REF!,#REF!,#REF!,#REF!</definedName>
    <definedName name="P9_T1?unit?ТРУБ" localSheetId="46" hidden="1">#REF!,#REF!,#REF!,#REF!,#REF!,#REF!,#REF!</definedName>
    <definedName name="P9_T1?unit?ТРУБ" localSheetId="7" hidden="1">#REF!,#REF!,#REF!,#REF!,#REF!,#REF!,#REF!</definedName>
    <definedName name="P9_T1?unit?ТРУБ" hidden="1">#REF!,#REF!,#REF!,#REF!,#REF!,#REF!,#REF!</definedName>
    <definedName name="P9_T28_Protection">'[24]28'!$G$89:$H$91,'[24]28'!$G$94:$H$96,'[24]28'!$D$94:$E$96,'[24]28'!$D$100:$E$102,'[24]28'!$G$100:$H$102,'[24]28'!$D$106:$E$108,'[24]28'!$G$106:$H$108,'[24]28'!$D$167:$E$169</definedName>
    <definedName name="po" localSheetId="47">'28-1_Ливневка'!po</definedName>
    <definedName name="po">[0]!po</definedName>
    <definedName name="poi" localSheetId="47">'28-1_Ливневка'!poi</definedName>
    <definedName name="poi">[0]!poi</definedName>
    <definedName name="PORT_PrjPeriods" localSheetId="14">[15]Портфель!$A$28</definedName>
    <definedName name="PORT_PrjPeriods" localSheetId="15">[15]Портфель!$A$28</definedName>
    <definedName name="PORT_PrjPeriods" localSheetId="16">[15]Портфель!$A$28</definedName>
    <definedName name="PORT_PrjPeriods" localSheetId="18">[15]Портфель!$A$28</definedName>
    <definedName name="PORT_PrjPeriods" localSheetId="23">[16]Портфель!$A$28</definedName>
    <definedName name="PORT_PrjPeriods" localSheetId="28">[15]Портфель!$A$28</definedName>
    <definedName name="PORT_PrjPeriods" localSheetId="33">[17]Портфель!$A$28</definedName>
    <definedName name="PORT_PrjPeriods" localSheetId="35">[15]Портфель!$A$28</definedName>
    <definedName name="PORT_PrjPeriods" localSheetId="9">[15]Портфель!$A$28</definedName>
    <definedName name="PORT_PrjPeriods" localSheetId="11">[15]Портфель!$A$28</definedName>
    <definedName name="PORT_PrjPeriods">[18]Портфель!$A$28</definedName>
    <definedName name="PPOVolume" localSheetId="15">#REF!</definedName>
    <definedName name="PPOVolume" localSheetId="21">#REF!</definedName>
    <definedName name="PPOVolume" localSheetId="38">#REF!</definedName>
    <definedName name="PPOVolume" localSheetId="46">#REF!</definedName>
    <definedName name="PPOVolume" localSheetId="47">#REF!</definedName>
    <definedName name="PPOVolume" localSheetId="7">#REF!</definedName>
    <definedName name="PPOVolume">#REF!</definedName>
    <definedName name="Prj_CurReport" localSheetId="18">[20]Параметры!$B$64</definedName>
    <definedName name="Prj_CurReport" localSheetId="35">[20]Параметры!$B$64</definedName>
    <definedName name="Prj_CurReport" localSheetId="48">[21]Параметры!$B$64</definedName>
    <definedName name="Prj_CurReport" localSheetId="9">[21]Параметры!$B$64</definedName>
    <definedName name="Prj_CurReport">[22]Параметры!$B$64</definedName>
    <definedName name="Prj_Inflation" localSheetId="18">[20]Параметры!$B$40</definedName>
    <definedName name="Prj_Inflation" localSheetId="35">[20]Параметры!$B$40</definedName>
    <definedName name="Prj_Inflation" localSheetId="48">[21]Параметры!$B$40</definedName>
    <definedName name="Prj_Inflation" localSheetId="9">[21]Параметры!$B$40</definedName>
    <definedName name="Prj_Inflation">[22]Параметры!$B$40</definedName>
    <definedName name="Prj_Invest" localSheetId="18">[20]Параметры!$D$18</definedName>
    <definedName name="Prj_Invest" localSheetId="35">[20]Параметры!$D$18</definedName>
    <definedName name="Prj_Invest" localSheetId="48">[21]Параметры!$D$18</definedName>
    <definedName name="Prj_Invest" localSheetId="9">[21]Параметры!$D$18</definedName>
    <definedName name="Prj_Invest">[22]Параметры!$D$18</definedName>
    <definedName name="Prj_Language" localSheetId="18">[20]Параметры!$D$8</definedName>
    <definedName name="Prj_Language" localSheetId="35">[20]Параметры!$D$8</definedName>
    <definedName name="Prj_Language" localSheetId="48">[21]Параметры!$D$8</definedName>
    <definedName name="Prj_Language" localSheetId="9">[21]Параметры!$D$8</definedName>
    <definedName name="Prj_Language">[22]Параметры!$D$8</definedName>
    <definedName name="Prj_Len" localSheetId="18">[20]Параметры!$D$17</definedName>
    <definedName name="Prj_Len" localSheetId="35">[20]Параметры!$D$17</definedName>
    <definedName name="Prj_Len" localSheetId="48">[21]Параметры!$D$17</definedName>
    <definedName name="Prj_Len" localSheetId="9">[21]Параметры!$D$17</definedName>
    <definedName name="Prj_Len">[22]Параметры!$D$17</definedName>
    <definedName name="Prj_Name" localSheetId="18">[20]Параметры!$A$4</definedName>
    <definedName name="Prj_Name" localSheetId="35">[20]Параметры!$A$4</definedName>
    <definedName name="Prj_Name" localSheetId="48">[21]Параметры!$A$4</definedName>
    <definedName name="Prj_Name" localSheetId="9">[21]Параметры!$A$4</definedName>
    <definedName name="Prj_Name">[22]Параметры!$A$4</definedName>
    <definedName name="Prj_Period" localSheetId="18">[20]Параметры!$D$19</definedName>
    <definedName name="Prj_Period" localSheetId="35">[20]Параметры!$D$19</definedName>
    <definedName name="Prj_Period" localSheetId="48">[21]Параметры!$D$19</definedName>
    <definedName name="Prj_Period" localSheetId="9">[21]Параметры!$D$19</definedName>
    <definedName name="Prj_Period">[22]Параметры!$D$19</definedName>
    <definedName name="Prj_Protect" localSheetId="18">[20]Параметры!$D$9</definedName>
    <definedName name="Prj_Protect" localSheetId="35">[20]Параметры!$D$9</definedName>
    <definedName name="Prj_Protect" localSheetId="48">[21]Параметры!$D$9</definedName>
    <definedName name="Prj_Protect" localSheetId="9">[21]Параметры!$D$9</definedName>
    <definedName name="Prj_Protect">[22]Параметры!$D$9</definedName>
    <definedName name="Prj_StartDate" localSheetId="18">[20]Параметры!$B$16</definedName>
    <definedName name="Prj_StartDate" localSheetId="35">[20]Параметры!$B$16</definedName>
    <definedName name="Prj_StartDate" localSheetId="48">[21]Параметры!$B$16</definedName>
    <definedName name="Prj_StartDate" localSheetId="9">[21]Параметры!$B$16</definedName>
    <definedName name="Prj_StartDate">[22]Параметры!$B$16</definedName>
    <definedName name="Prj_StartMonth" localSheetId="18">[20]Параметры!$B$23</definedName>
    <definedName name="Prj_StartMonth" localSheetId="35">[20]Параметры!$B$23</definedName>
    <definedName name="Prj_StartMonth" localSheetId="48">[21]Параметры!$B$23</definedName>
    <definedName name="Prj_StartMonth" localSheetId="9">[21]Параметры!$B$23</definedName>
    <definedName name="Prj_StartMonth">[22]Параметры!$B$23</definedName>
    <definedName name="Prj_StartYear" localSheetId="18">[20]Параметры!$B$22</definedName>
    <definedName name="Prj_StartYear" localSheetId="35">[20]Параметры!$B$22</definedName>
    <definedName name="Prj_StartYear" localSheetId="48">[21]Параметры!$B$22</definedName>
    <definedName name="Prj_StartYear" localSheetId="9">[21]Параметры!$B$22</definedName>
    <definedName name="Prj_StartYear">[22]Параметры!$B$22</definedName>
    <definedName name="Prj_Step" localSheetId="18">[20]Параметры!$D$21</definedName>
    <definedName name="Prj_Step" localSheetId="35">[20]Параметры!$D$21</definedName>
    <definedName name="Prj_Step" localSheetId="48">[21]Параметры!$D$21</definedName>
    <definedName name="Prj_Step" localSheetId="9">[21]Параметры!$D$21</definedName>
    <definedName name="Prj_Step">[22]Параметры!$D$21</definedName>
    <definedName name="Prj_Style" localSheetId="18">[20]Параметры!$D$10</definedName>
    <definedName name="Prj_Style" localSheetId="35">[20]Параметры!$D$10</definedName>
    <definedName name="Prj_Style" localSheetId="48">[21]Параметры!$D$10</definedName>
    <definedName name="Prj_Style" localSheetId="9">[21]Параметры!$D$10</definedName>
    <definedName name="Prj_Style">[22]Параметры!$D$10</definedName>
    <definedName name="Prj_VAT" localSheetId="18">[20]Параметры!$B$74</definedName>
    <definedName name="Prj_VAT" localSheetId="35">[20]Параметры!$B$74</definedName>
    <definedName name="Prj_VAT" localSheetId="48">[21]Параметры!$B$74</definedName>
    <definedName name="Prj_VAT" localSheetId="9">[21]Параметры!$B$74</definedName>
    <definedName name="Prj_VAT">[22]Параметры!$B$74</definedName>
    <definedName name="protect" localSheetId="15">#REF!,#REF!,#REF!,#REF!</definedName>
    <definedName name="protect" localSheetId="21">#REF!,#REF!,#REF!,#REF!</definedName>
    <definedName name="protect" localSheetId="46">#REF!,#REF!,#REF!,#REF!</definedName>
    <definedName name="protect" localSheetId="47">#REF!,#REF!,#REF!,#REF!</definedName>
    <definedName name="protect" localSheetId="7">#REF!,#REF!,#REF!,#REF!</definedName>
    <definedName name="protect">#REF!,#REF!,#REF!,#REF!</definedName>
    <definedName name="qq" localSheetId="47">'28-1_Ливневка'!qq</definedName>
    <definedName name="qq">[0]!qq</definedName>
    <definedName name="qwe" localSheetId="14">#REF!</definedName>
    <definedName name="qwe" localSheetId="15">#REF!</definedName>
    <definedName name="qwe" localSheetId="21">#REF!</definedName>
    <definedName name="qwe" localSheetId="22">#REF!</definedName>
    <definedName name="qwe" localSheetId="33">#REF!</definedName>
    <definedName name="qwe" localSheetId="46">#REF!</definedName>
    <definedName name="qwe" localSheetId="7">#REF!</definedName>
    <definedName name="qwe" localSheetId="11">#REF!</definedName>
    <definedName name="qwe">#REF!</definedName>
    <definedName name="rety" localSheetId="47">'28-1_Ливневка'!rety</definedName>
    <definedName name="rety">[0]!rety</definedName>
    <definedName name="rgk">[23]FST5!$G$214:$G$217,[23]FST5!$G$219:$G$224,[23]FST5!$G$226,[23]FST5!$G$228,[23]FST5!$G$230,[23]FST5!$G$232,[23]FST5!$G$197:$G$212</definedName>
    <definedName name="rty" localSheetId="47">'28-1_Ливневка'!rty</definedName>
    <definedName name="rty">[0]!rty</definedName>
    <definedName name="RU" localSheetId="47">'28-1_Ливневка'!RU</definedName>
    <definedName name="RU">[0]!RU</definedName>
    <definedName name="s" localSheetId="15">#REF!</definedName>
    <definedName name="s" localSheetId="21">#REF!</definedName>
    <definedName name="s" localSheetId="46">#REF!</definedName>
    <definedName name="s" localSheetId="47">#REF!</definedName>
    <definedName name="s" localSheetId="7">#REF!</definedName>
    <definedName name="s">#REF!</definedName>
    <definedName name="S1_" localSheetId="15">#REF!</definedName>
    <definedName name="S1_" localSheetId="21">#REF!</definedName>
    <definedName name="S1_" localSheetId="46">#REF!</definedName>
    <definedName name="S1_" localSheetId="7">#REF!</definedName>
    <definedName name="S1_">#REF!</definedName>
    <definedName name="S10_" localSheetId="15">#REF!</definedName>
    <definedName name="S10_" localSheetId="21">#REF!</definedName>
    <definedName name="S10_" localSheetId="46">#REF!</definedName>
    <definedName name="S10_" localSheetId="7">#REF!</definedName>
    <definedName name="S10_">#REF!</definedName>
    <definedName name="S11_" localSheetId="15">#REF!</definedName>
    <definedName name="S11_" localSheetId="21">#REF!</definedName>
    <definedName name="S11_" localSheetId="46">#REF!</definedName>
    <definedName name="S11_" localSheetId="7">#REF!</definedName>
    <definedName name="S11_">#REF!</definedName>
    <definedName name="S12_" localSheetId="15">#REF!</definedName>
    <definedName name="S12_" localSheetId="21">#REF!</definedName>
    <definedName name="S12_" localSheetId="46">#REF!</definedName>
    <definedName name="S12_" localSheetId="7">#REF!</definedName>
    <definedName name="S12_">#REF!</definedName>
    <definedName name="S13_" localSheetId="15">#REF!</definedName>
    <definedName name="S13_" localSheetId="21">#REF!</definedName>
    <definedName name="S13_" localSheetId="46">#REF!</definedName>
    <definedName name="S13_" localSheetId="7">#REF!</definedName>
    <definedName name="S13_">#REF!</definedName>
    <definedName name="S14_" localSheetId="15">#REF!</definedName>
    <definedName name="S14_" localSheetId="21">#REF!</definedName>
    <definedName name="S14_" localSheetId="46">#REF!</definedName>
    <definedName name="S14_" localSheetId="7">#REF!</definedName>
    <definedName name="S14_">#REF!</definedName>
    <definedName name="S15_" localSheetId="15">#REF!</definedName>
    <definedName name="S15_" localSheetId="21">#REF!</definedName>
    <definedName name="S15_" localSheetId="46">#REF!</definedName>
    <definedName name="S15_" localSheetId="7">#REF!</definedName>
    <definedName name="S15_">#REF!</definedName>
    <definedName name="S16_" localSheetId="15">#REF!</definedName>
    <definedName name="S16_" localSheetId="21">#REF!</definedName>
    <definedName name="S16_" localSheetId="46">#REF!</definedName>
    <definedName name="S16_" localSheetId="7">#REF!</definedName>
    <definedName name="S16_">#REF!</definedName>
    <definedName name="S17_" localSheetId="15">#REF!</definedName>
    <definedName name="S17_" localSheetId="21">#REF!</definedName>
    <definedName name="S17_" localSheetId="46">#REF!</definedName>
    <definedName name="S17_" localSheetId="7">#REF!</definedName>
    <definedName name="S17_">#REF!</definedName>
    <definedName name="S18_" localSheetId="15">#REF!</definedName>
    <definedName name="S18_" localSheetId="21">#REF!</definedName>
    <definedName name="S18_" localSheetId="46">#REF!</definedName>
    <definedName name="S18_" localSheetId="7">#REF!</definedName>
    <definedName name="S18_">#REF!</definedName>
    <definedName name="S19_" localSheetId="15">#REF!</definedName>
    <definedName name="S19_" localSheetId="21">#REF!</definedName>
    <definedName name="S19_" localSheetId="46">#REF!</definedName>
    <definedName name="S19_" localSheetId="7">#REF!</definedName>
    <definedName name="S19_">#REF!</definedName>
    <definedName name="S2_" localSheetId="15">#REF!</definedName>
    <definedName name="S2_" localSheetId="21">#REF!</definedName>
    <definedName name="S2_" localSheetId="46">#REF!</definedName>
    <definedName name="S2_" localSheetId="7">#REF!</definedName>
    <definedName name="S2_">#REF!</definedName>
    <definedName name="S20_" localSheetId="15">#REF!</definedName>
    <definedName name="S20_" localSheetId="21">#REF!</definedName>
    <definedName name="S20_" localSheetId="46">#REF!</definedName>
    <definedName name="S20_" localSheetId="7">#REF!</definedName>
    <definedName name="S20_">#REF!</definedName>
    <definedName name="S3_" localSheetId="15">#REF!</definedName>
    <definedName name="S3_" localSheetId="21">#REF!</definedName>
    <definedName name="S3_" localSheetId="46">#REF!</definedName>
    <definedName name="S3_" localSheetId="7">#REF!</definedName>
    <definedName name="S3_">#REF!</definedName>
    <definedName name="S4_" localSheetId="15">#REF!</definedName>
    <definedName name="S4_" localSheetId="21">#REF!</definedName>
    <definedName name="S4_" localSheetId="46">#REF!</definedName>
    <definedName name="S4_" localSheetId="7">#REF!</definedName>
    <definedName name="S4_">#REF!</definedName>
    <definedName name="S5_" localSheetId="15">#REF!</definedName>
    <definedName name="S5_" localSheetId="21">#REF!</definedName>
    <definedName name="S5_" localSheetId="46">#REF!</definedName>
    <definedName name="S5_" localSheetId="7">#REF!</definedName>
    <definedName name="S5_">#REF!</definedName>
    <definedName name="S6_" localSheetId="15">#REF!</definedName>
    <definedName name="S6_" localSheetId="21">#REF!</definedName>
    <definedName name="S6_" localSheetId="46">#REF!</definedName>
    <definedName name="S6_" localSheetId="7">#REF!</definedName>
    <definedName name="S6_">#REF!</definedName>
    <definedName name="S7_" localSheetId="15">#REF!</definedName>
    <definedName name="S7_" localSheetId="21">#REF!</definedName>
    <definedName name="S7_" localSheetId="46">#REF!</definedName>
    <definedName name="S7_" localSheetId="7">#REF!</definedName>
    <definedName name="S7_">#REF!</definedName>
    <definedName name="S8_" localSheetId="15">#REF!</definedName>
    <definedName name="S8_" localSheetId="21">#REF!</definedName>
    <definedName name="S8_" localSheetId="46">#REF!</definedName>
    <definedName name="S8_" localSheetId="7">#REF!</definedName>
    <definedName name="S8_">#REF!</definedName>
    <definedName name="S9_" localSheetId="15">#REF!</definedName>
    <definedName name="S9_" localSheetId="21">#REF!</definedName>
    <definedName name="S9_" localSheetId="46">#REF!</definedName>
    <definedName name="S9_" localSheetId="7">#REF!</definedName>
    <definedName name="S9_">#REF!</definedName>
    <definedName name="sbyt">[23]FST5!$G$70:$G$75,[23]FST5!$G$77:$G$78,[23]FST5!$G$80:$G$83,[23]FST5!$G$85,[23]FST5!$G$87:$G$91,[23]FST5!$G$93,[23]FST5!$G$95:$G$97,[23]FST5!$G$52:$G$68</definedName>
    <definedName name="SCOPE_OUTD">[23]FST5!$G$23:$G$30,[23]FST5!$G$32:$G$35,[23]FST5!$G$37,[23]FST5!$G$39:$G$45,[23]FST5!$G$47,[23]FST5!$G$49,[23]FST5!$G$5:$G$21</definedName>
    <definedName name="SCOPE_SS">[25]Первоначально!$C$25:$C$31,[25]Первоначально!$C$33,[25]Первоначально!$B$14,[25]Первоначально!$C$35:$C$37</definedName>
    <definedName name="SCOPE_TP">[23]FST5!$L$12:$L$23,[23]FST5!$L$5:$L$8</definedName>
    <definedName name="Sens_IRR1" localSheetId="18">[20]Результаты!$B$196</definedName>
    <definedName name="Sens_IRR1" localSheetId="35">[20]Результаты!$B$196</definedName>
    <definedName name="Sens_IRR1" localSheetId="48">[21]Результаты!$B$196</definedName>
    <definedName name="Sens_IRR1" localSheetId="9">[21]Результаты!$B$196</definedName>
    <definedName name="Sens_IRR1">[22]Результаты!$B$196</definedName>
    <definedName name="Sens_NPV1" localSheetId="18">[20]Результаты!$B$194</definedName>
    <definedName name="Sens_NPV1" localSheetId="35">[20]Результаты!$B$194</definedName>
    <definedName name="Sens_NPV1" localSheetId="48">[21]Результаты!$B$194</definedName>
    <definedName name="Sens_NPV1" localSheetId="9">[21]Результаты!$B$194</definedName>
    <definedName name="Sens_NPV1">[22]Результаты!$B$194</definedName>
    <definedName name="Sens_PBP1" localSheetId="18">[20]Результаты!$B$205</definedName>
    <definedName name="Sens_PBP1" localSheetId="35">[20]Результаты!$B$205</definedName>
    <definedName name="Sens_PBP1" localSheetId="48">[21]Результаты!$B$205</definedName>
    <definedName name="Sens_PBP1" localSheetId="9">[21]Результаты!$B$205</definedName>
    <definedName name="Sens_PBP1">[22]Результаты!$B$205</definedName>
    <definedName name="Sens_Sales" localSheetId="18">[20]Проект!$G$206:$AY$213,[20]Проект!$G$426:$AY$437</definedName>
    <definedName name="Sens_Sales" localSheetId="35">[20]Проект!$G$206:$AY$213,[20]Проект!$G$426:$AY$437</definedName>
    <definedName name="Sens_Sales" localSheetId="48">[21]Проект!$G$206:$AY$213,[21]Проект!$G$426:$AY$437</definedName>
    <definedName name="Sens_Sales" localSheetId="9">[21]Проект!$G$206:$AY$213,[21]Проект!$G$426:$AY$437</definedName>
    <definedName name="Sens_Sales">[22]Проект!$G$206:$AY$213,[22]Проект!$G$426:$AY$437</definedName>
    <definedName name="Sheet2?prefix?">"H"</definedName>
    <definedName name="solver_adj" localSheetId="22" hidden="1">'16_Кредит'!$E$10:$L$10</definedName>
    <definedName name="solver_cvg" localSheetId="22" hidden="1">0.0001</definedName>
    <definedName name="solver_drv" localSheetId="22" hidden="1">1</definedName>
    <definedName name="solver_eng" localSheetId="22" hidden="1">1</definedName>
    <definedName name="solver_est" localSheetId="22" hidden="1">1</definedName>
    <definedName name="solver_itr" localSheetId="22" hidden="1">2147483647</definedName>
    <definedName name="solver_lhs1" localSheetId="22" hidden="1">'16_Кредит'!$E$13:$L$13</definedName>
    <definedName name="solver_lhs2" localSheetId="22" hidden="1">'16_Кредит'!$D$13:$L$13</definedName>
    <definedName name="solver_mip" localSheetId="22" hidden="1">2147483647</definedName>
    <definedName name="solver_mni" localSheetId="22" hidden="1">30</definedName>
    <definedName name="solver_mrt" localSheetId="22" hidden="1">0.075</definedName>
    <definedName name="solver_msl" localSheetId="22" hidden="1">2</definedName>
    <definedName name="solver_neg" localSheetId="22" hidden="1">2</definedName>
    <definedName name="solver_nod" localSheetId="22" hidden="1">2147483647</definedName>
    <definedName name="solver_num" localSheetId="22" hidden="1">1</definedName>
    <definedName name="solver_nwt" localSheetId="22" hidden="1">1</definedName>
    <definedName name="solver_opt" localSheetId="22" hidden="1">'16_Кредит'!$B$5</definedName>
    <definedName name="solver_pre" localSheetId="22" hidden="1">0.000001</definedName>
    <definedName name="solver_rbv" localSheetId="22" hidden="1">1</definedName>
    <definedName name="solver_rel1" localSheetId="22" hidden="1">2</definedName>
    <definedName name="solver_rel2" localSheetId="22" hidden="1">2</definedName>
    <definedName name="solver_rhs1" localSheetId="22" hidden="1">1.3</definedName>
    <definedName name="solver_rhs2" localSheetId="22" hidden="1">1.2</definedName>
    <definedName name="solver_rlx" localSheetId="22" hidden="1">2</definedName>
    <definedName name="solver_rsd" localSheetId="22" hidden="1">0</definedName>
    <definedName name="solver_scl" localSheetId="22" hidden="1">1</definedName>
    <definedName name="solver_sho" localSheetId="22" hidden="1">2</definedName>
    <definedName name="solver_ssz" localSheetId="22" hidden="1">100</definedName>
    <definedName name="solver_tim" localSheetId="22" hidden="1">2147483647</definedName>
    <definedName name="solver_tol" localSheetId="22" hidden="1">0.01</definedName>
    <definedName name="solver_typ" localSheetId="22" hidden="1">1</definedName>
    <definedName name="solver_val" localSheetId="22" hidden="1">280000</definedName>
    <definedName name="solver_ver" localSheetId="22" hidden="1">3</definedName>
    <definedName name="SPPOVolume" localSheetId="15">#REF!</definedName>
    <definedName name="SPPOVolume" localSheetId="21">#REF!</definedName>
    <definedName name="SPPOVolume" localSheetId="38">#REF!</definedName>
    <definedName name="SPPOVolume" localSheetId="46">#REF!</definedName>
    <definedName name="SPPOVolume" localSheetId="47">#REF!</definedName>
    <definedName name="SPPOVolume" localSheetId="7">#REF!</definedName>
    <definedName name="SPPOVolume">#REF!</definedName>
    <definedName name="ss" localSheetId="47">'28-1_Ливневка'!ss</definedName>
    <definedName name="ss">[0]!ss</definedName>
    <definedName name="sss" localSheetId="47">'28-1_Ливневка'!sss</definedName>
    <definedName name="sss">[0]!sss</definedName>
    <definedName name="ssss" localSheetId="47">'28-1_Ливневка'!ssss</definedName>
    <definedName name="ssss">[0]!ssss</definedName>
    <definedName name="SSTVolume" localSheetId="15">#REF!</definedName>
    <definedName name="SSTVolume" localSheetId="21">#REF!</definedName>
    <definedName name="SSTVolume" localSheetId="38">#REF!</definedName>
    <definedName name="SSTVolume" localSheetId="46">#REF!</definedName>
    <definedName name="SSTVolume" localSheetId="47">#REF!</definedName>
    <definedName name="SSTVolume" localSheetId="7">#REF!</definedName>
    <definedName name="SSTVolume">#REF!</definedName>
    <definedName name="SUMM_Only_demo1" localSheetId="14">#REF!</definedName>
    <definedName name="SUMM_Only_demo1" localSheetId="15">#REF!</definedName>
    <definedName name="SUMM_Only_demo1" localSheetId="21">#REF!</definedName>
    <definedName name="SUMM_Only_demo1" localSheetId="46">#REF!</definedName>
    <definedName name="SUMM_Only_demo1" localSheetId="7">#REF!</definedName>
    <definedName name="SUMM_Only_demo1">#REF!</definedName>
    <definedName name="SUMM_Only_demo2" localSheetId="14">#REF!</definedName>
    <definedName name="SUMM_Only_demo2" localSheetId="15">#REF!</definedName>
    <definedName name="SUMM_Only_demo2" localSheetId="21">#REF!</definedName>
    <definedName name="SUMM_Only_demo2" localSheetId="46">#REF!</definedName>
    <definedName name="SUMM_Only_demo2" localSheetId="7">#REF!</definedName>
    <definedName name="SUMM_Only_demo2">#REF!</definedName>
    <definedName name="SUMM_Only_demo3" localSheetId="14">#REF!</definedName>
    <definedName name="SUMM_Only_demo3" localSheetId="15">#REF!</definedName>
    <definedName name="SUMM_Only_demo3" localSheetId="21">#REF!</definedName>
    <definedName name="SUMM_Only_demo3" localSheetId="46">#REF!</definedName>
    <definedName name="SUMM_Only_demo3" localSheetId="7">#REF!</definedName>
    <definedName name="SUMM_Only_demo3">#REF!</definedName>
    <definedName name="SUMM_Only_demo4" localSheetId="14">#REF!</definedName>
    <definedName name="SUMM_Only_demo4" localSheetId="15">#REF!</definedName>
    <definedName name="SUMM_Only_demo4" localSheetId="21">#REF!</definedName>
    <definedName name="SUMM_Only_demo4" localSheetId="46">#REF!</definedName>
    <definedName name="SUMM_Only_demo4" localSheetId="7">#REF!</definedName>
    <definedName name="SUMM_Only_demo4">#REF!</definedName>
    <definedName name="T0_Copy1" localSheetId="15">#REF!</definedName>
    <definedName name="T0_Copy1" localSheetId="21">#REF!</definedName>
    <definedName name="T0_Copy1" localSheetId="46">#REF!</definedName>
    <definedName name="T0_Copy1" localSheetId="7">#REF!</definedName>
    <definedName name="T0_Copy1">#REF!</definedName>
    <definedName name="T0?axis?ПРД?БАЗ">'[3]0'!$I$7:$J$112,'[3]0'!$F$7:$G$112</definedName>
    <definedName name="T0?axis?ПРД?ПРЕД">'[3]0'!$K$7:$L$112,'[3]0'!$D$7:$E$112</definedName>
    <definedName name="T0?axis?ПРД?РЕГ" localSheetId="15">#REF!</definedName>
    <definedName name="T0?axis?ПРД?РЕГ" localSheetId="21">#REF!</definedName>
    <definedName name="T0?axis?ПРД?РЕГ" localSheetId="46">#REF!</definedName>
    <definedName name="T0?axis?ПРД?РЕГ" localSheetId="47">#REF!</definedName>
    <definedName name="T0?axis?ПРД?РЕГ" localSheetId="7">#REF!</definedName>
    <definedName name="T0?axis?ПРД?РЕГ">#REF!</definedName>
    <definedName name="T0?axis?ПФ?ПЛАН">'[3]0'!$I$7:$I$112,'[3]0'!$D$7:$D$112,'[3]0'!$K$7:$K$112,'[3]0'!$F$7:$F$112</definedName>
    <definedName name="T0?axis?ПФ?ФАКТ">'[3]0'!$J$7:$J$112,'[3]0'!$E$7:$E$112,'[3]0'!$L$7:$L$112,'[3]0'!$G$7:$G$112</definedName>
    <definedName name="T0?Copy1" localSheetId="15">#REF!</definedName>
    <definedName name="T0?Copy1" localSheetId="21">#REF!</definedName>
    <definedName name="T0?Copy1" localSheetId="46">#REF!</definedName>
    <definedName name="T0?Copy1" localSheetId="47">#REF!</definedName>
    <definedName name="T0?Copy1" localSheetId="7">#REF!</definedName>
    <definedName name="T0?Copy1">#REF!</definedName>
    <definedName name="T0?Copy2" localSheetId="15">#REF!</definedName>
    <definedName name="T0?Copy2" localSheetId="21">#REF!</definedName>
    <definedName name="T0?Copy2" localSheetId="46">#REF!</definedName>
    <definedName name="T0?Copy2" localSheetId="7">#REF!</definedName>
    <definedName name="T0?Copy2">#REF!</definedName>
    <definedName name="T0?Copy3" localSheetId="15">#REF!</definedName>
    <definedName name="T0?Copy3" localSheetId="21">#REF!</definedName>
    <definedName name="T0?Copy3" localSheetId="46">#REF!</definedName>
    <definedName name="T0?Copy3" localSheetId="7">#REF!</definedName>
    <definedName name="T0?Copy3">#REF!</definedName>
    <definedName name="T0?Copy4" localSheetId="15">#REF!</definedName>
    <definedName name="T0?Copy4" localSheetId="21">#REF!</definedName>
    <definedName name="T0?Copy4" localSheetId="46">#REF!</definedName>
    <definedName name="T0?Copy4" localSheetId="7">#REF!</definedName>
    <definedName name="T0?Copy4">#REF!</definedName>
    <definedName name="T0?Data">'[3]0'!$D$8:$L$52,   '[3]0'!$D$54:$L$59,   '[3]0'!$D$63:$L$64,   '[3]0'!$D$68:$L$70,   '[3]0'!$D$72:$L$74,   '[3]0'!$D$77:$L$92,   '[3]0'!$D$95:$L$97,   '[3]0'!$D$99:$L$104,   '[3]0'!$D$107:$L$108,   '[3]0'!$D$111:$L$112</definedName>
    <definedName name="T0?item_ext?РОСТ" localSheetId="15">#REF!</definedName>
    <definedName name="T0?item_ext?РОСТ" localSheetId="21">#REF!</definedName>
    <definedName name="T0?item_ext?РОСТ" localSheetId="46">#REF!</definedName>
    <definedName name="T0?item_ext?РОСТ" localSheetId="47">#REF!</definedName>
    <definedName name="T0?item_ext?РОСТ" localSheetId="7">#REF!</definedName>
    <definedName name="T0?item_ext?РОСТ">#REF!</definedName>
    <definedName name="T0?L0.1" localSheetId="15">#REF!</definedName>
    <definedName name="T0?L0.1" localSheetId="21">#REF!</definedName>
    <definedName name="T0?L0.1" localSheetId="46">#REF!</definedName>
    <definedName name="T0?L0.1" localSheetId="7">#REF!</definedName>
    <definedName name="T0?L0.1">#REF!</definedName>
    <definedName name="T0?L0.2" localSheetId="15">#REF!</definedName>
    <definedName name="T0?L0.2" localSheetId="21">#REF!</definedName>
    <definedName name="T0?L0.2" localSheetId="46">#REF!</definedName>
    <definedName name="T0?L0.2" localSheetId="7">#REF!</definedName>
    <definedName name="T0?L0.2">#REF!</definedName>
    <definedName name="T0?L1" localSheetId="15">#REF!</definedName>
    <definedName name="T0?L1" localSheetId="21">#REF!</definedName>
    <definedName name="T0?L1" localSheetId="46">#REF!</definedName>
    <definedName name="T0?L1" localSheetId="7">#REF!</definedName>
    <definedName name="T0?L1">#REF!</definedName>
    <definedName name="T0?L10" localSheetId="15">#REF!</definedName>
    <definedName name="T0?L10" localSheetId="21">#REF!</definedName>
    <definedName name="T0?L10" localSheetId="46">#REF!</definedName>
    <definedName name="T0?L10" localSheetId="7">#REF!</definedName>
    <definedName name="T0?L10">#REF!</definedName>
    <definedName name="T0?L10.1" localSheetId="15">#REF!</definedName>
    <definedName name="T0?L10.1" localSheetId="21">#REF!</definedName>
    <definedName name="T0?L10.1" localSheetId="46">#REF!</definedName>
    <definedName name="T0?L10.1" localSheetId="7">#REF!</definedName>
    <definedName name="T0?L10.1">#REF!</definedName>
    <definedName name="T0?L10.2" localSheetId="15">#REF!</definedName>
    <definedName name="T0?L10.2" localSheetId="21">#REF!</definedName>
    <definedName name="T0?L10.2" localSheetId="46">#REF!</definedName>
    <definedName name="T0?L10.2" localSheetId="7">#REF!</definedName>
    <definedName name="T0?L10.2">#REF!</definedName>
    <definedName name="T0?L10.3" localSheetId="15">#REF!</definedName>
    <definedName name="T0?L10.3" localSheetId="21">#REF!</definedName>
    <definedName name="T0?L10.3" localSheetId="46">#REF!</definedName>
    <definedName name="T0?L10.3" localSheetId="7">#REF!</definedName>
    <definedName name="T0?L10.3">#REF!</definedName>
    <definedName name="T0?L10.4" localSheetId="15">#REF!</definedName>
    <definedName name="T0?L10.4" localSheetId="21">#REF!</definedName>
    <definedName name="T0?L10.4" localSheetId="46">#REF!</definedName>
    <definedName name="T0?L10.4" localSheetId="7">#REF!</definedName>
    <definedName name="T0?L10.4">#REF!</definedName>
    <definedName name="T0?L10.5" localSheetId="15">#REF!</definedName>
    <definedName name="T0?L10.5" localSheetId="21">#REF!</definedName>
    <definedName name="T0?L10.5" localSheetId="46">#REF!</definedName>
    <definedName name="T0?L10.5" localSheetId="7">#REF!</definedName>
    <definedName name="T0?L10.5">#REF!</definedName>
    <definedName name="T0?L11" localSheetId="15">#REF!</definedName>
    <definedName name="T0?L11" localSheetId="21">#REF!</definedName>
    <definedName name="T0?L11" localSheetId="46">#REF!</definedName>
    <definedName name="T0?L11" localSheetId="7">#REF!</definedName>
    <definedName name="T0?L11">#REF!</definedName>
    <definedName name="T0?L12" localSheetId="15">#REF!</definedName>
    <definedName name="T0?L12" localSheetId="21">#REF!</definedName>
    <definedName name="T0?L12" localSheetId="46">#REF!</definedName>
    <definedName name="T0?L12" localSheetId="7">#REF!</definedName>
    <definedName name="T0?L12">#REF!</definedName>
    <definedName name="T0?L13" localSheetId="15">#REF!</definedName>
    <definedName name="T0?L13" localSheetId="21">#REF!</definedName>
    <definedName name="T0?L13" localSheetId="46">#REF!</definedName>
    <definedName name="T0?L13" localSheetId="7">#REF!</definedName>
    <definedName name="T0?L13">#REF!</definedName>
    <definedName name="T0?L13.1" localSheetId="15">#REF!</definedName>
    <definedName name="T0?L13.1" localSheetId="21">#REF!</definedName>
    <definedName name="T0?L13.1" localSheetId="46">#REF!</definedName>
    <definedName name="T0?L13.1" localSheetId="7">#REF!</definedName>
    <definedName name="T0?L13.1">#REF!</definedName>
    <definedName name="T0?L13.2" localSheetId="15">#REF!</definedName>
    <definedName name="T0?L13.2" localSheetId="21">#REF!</definedName>
    <definedName name="T0?L13.2" localSheetId="46">#REF!</definedName>
    <definedName name="T0?L13.2" localSheetId="7">#REF!</definedName>
    <definedName name="T0?L13.2">#REF!</definedName>
    <definedName name="T0?L14" localSheetId="15">#REF!</definedName>
    <definedName name="T0?L14" localSheetId="21">#REF!</definedName>
    <definedName name="T0?L14" localSheetId="46">#REF!</definedName>
    <definedName name="T0?L14" localSheetId="7">#REF!</definedName>
    <definedName name="T0?L14">#REF!</definedName>
    <definedName name="T0?L14.1" localSheetId="15">#REF!</definedName>
    <definedName name="T0?L14.1" localSheetId="21">#REF!</definedName>
    <definedName name="T0?L14.1" localSheetId="46">#REF!</definedName>
    <definedName name="T0?L14.1" localSheetId="7">#REF!</definedName>
    <definedName name="T0?L14.1">#REF!</definedName>
    <definedName name="T0?L14.2" localSheetId="15">#REF!</definedName>
    <definedName name="T0?L14.2" localSheetId="21">#REF!</definedName>
    <definedName name="T0?L14.2" localSheetId="46">#REF!</definedName>
    <definedName name="T0?L14.2" localSheetId="7">#REF!</definedName>
    <definedName name="T0?L14.2">#REF!</definedName>
    <definedName name="T0?L15" localSheetId="15">#REF!</definedName>
    <definedName name="T0?L15" localSheetId="21">#REF!</definedName>
    <definedName name="T0?L15" localSheetId="46">#REF!</definedName>
    <definedName name="T0?L15" localSheetId="7">#REF!</definedName>
    <definedName name="T0?L15">#REF!</definedName>
    <definedName name="T0?L15.1" localSheetId="15">#REF!</definedName>
    <definedName name="T0?L15.1" localSheetId="21">#REF!</definedName>
    <definedName name="T0?L15.1" localSheetId="46">#REF!</definedName>
    <definedName name="T0?L15.1" localSheetId="7">#REF!</definedName>
    <definedName name="T0?L15.1">#REF!</definedName>
    <definedName name="T0?L15.2" localSheetId="15">#REF!</definedName>
    <definedName name="T0?L15.2" localSheetId="21">#REF!</definedName>
    <definedName name="T0?L15.2" localSheetId="46">#REF!</definedName>
    <definedName name="T0?L15.2" localSheetId="7">#REF!</definedName>
    <definedName name="T0?L15.2">#REF!</definedName>
    <definedName name="T0?L15.2.1" localSheetId="15">#REF!</definedName>
    <definedName name="T0?L15.2.1" localSheetId="21">#REF!</definedName>
    <definedName name="T0?L15.2.1" localSheetId="46">#REF!</definedName>
    <definedName name="T0?L15.2.1" localSheetId="7">#REF!</definedName>
    <definedName name="T0?L15.2.1">#REF!</definedName>
    <definedName name="T0?L15.2.2" localSheetId="15">#REF!</definedName>
    <definedName name="T0?L15.2.2" localSheetId="21">#REF!</definedName>
    <definedName name="T0?L15.2.2" localSheetId="46">#REF!</definedName>
    <definedName name="T0?L15.2.2" localSheetId="7">#REF!</definedName>
    <definedName name="T0?L15.2.2">#REF!</definedName>
    <definedName name="T0?L16" localSheetId="15">#REF!</definedName>
    <definedName name="T0?L16" localSheetId="21">#REF!</definedName>
    <definedName name="T0?L16" localSheetId="46">#REF!</definedName>
    <definedName name="T0?L16" localSheetId="7">#REF!</definedName>
    <definedName name="T0?L16">#REF!</definedName>
    <definedName name="T0?L17" localSheetId="15">#REF!</definedName>
    <definedName name="T0?L17" localSheetId="21">#REF!</definedName>
    <definedName name="T0?L17" localSheetId="46">#REF!</definedName>
    <definedName name="T0?L17" localSheetId="7">#REF!</definedName>
    <definedName name="T0?L17">#REF!</definedName>
    <definedName name="T0?L17.1" localSheetId="15">#REF!</definedName>
    <definedName name="T0?L17.1" localSheetId="21">#REF!</definedName>
    <definedName name="T0?L17.1" localSheetId="46">#REF!</definedName>
    <definedName name="T0?L17.1" localSheetId="7">#REF!</definedName>
    <definedName name="T0?L17.1">#REF!</definedName>
    <definedName name="T0?L18" localSheetId="15">#REF!</definedName>
    <definedName name="T0?L18" localSheetId="21">#REF!</definedName>
    <definedName name="T0?L18" localSheetId="46">#REF!</definedName>
    <definedName name="T0?L18" localSheetId="7">#REF!</definedName>
    <definedName name="T0?L18">#REF!</definedName>
    <definedName name="T0?L19" localSheetId="15">#REF!</definedName>
    <definedName name="T0?L19" localSheetId="21">#REF!</definedName>
    <definedName name="T0?L19" localSheetId="46">#REF!</definedName>
    <definedName name="T0?L19" localSheetId="7">#REF!</definedName>
    <definedName name="T0?L19">#REF!</definedName>
    <definedName name="T0?L2" localSheetId="15">#REF!</definedName>
    <definedName name="T0?L2" localSheetId="21">#REF!</definedName>
    <definedName name="T0?L2" localSheetId="46">#REF!</definedName>
    <definedName name="T0?L2" localSheetId="7">#REF!</definedName>
    <definedName name="T0?L2">#REF!</definedName>
    <definedName name="T0?L20" localSheetId="15">#REF!</definedName>
    <definedName name="T0?L20" localSheetId="21">#REF!</definedName>
    <definedName name="T0?L20" localSheetId="46">#REF!</definedName>
    <definedName name="T0?L20" localSheetId="7">#REF!</definedName>
    <definedName name="T0?L20">#REF!</definedName>
    <definedName name="T0?L21" localSheetId="15">#REF!</definedName>
    <definedName name="T0?L21" localSheetId="21">#REF!</definedName>
    <definedName name="T0?L21" localSheetId="46">#REF!</definedName>
    <definedName name="T0?L21" localSheetId="7">#REF!</definedName>
    <definedName name="T0?L21">#REF!</definedName>
    <definedName name="T0?L22" localSheetId="15">#REF!</definedName>
    <definedName name="T0?L22" localSheetId="21">#REF!</definedName>
    <definedName name="T0?L22" localSheetId="46">#REF!</definedName>
    <definedName name="T0?L22" localSheetId="7">#REF!</definedName>
    <definedName name="T0?L22">#REF!</definedName>
    <definedName name="T0?L22.1" localSheetId="15">#REF!</definedName>
    <definedName name="T0?L22.1" localSheetId="21">#REF!</definedName>
    <definedName name="T0?L22.1" localSheetId="46">#REF!</definedName>
    <definedName name="T0?L22.1" localSheetId="7">#REF!</definedName>
    <definedName name="T0?L22.1">#REF!</definedName>
    <definedName name="T0?L22.2" localSheetId="15">#REF!</definedName>
    <definedName name="T0?L22.2" localSheetId="21">#REF!</definedName>
    <definedName name="T0?L22.2" localSheetId="46">#REF!</definedName>
    <definedName name="T0?L22.2" localSheetId="7">#REF!</definedName>
    <definedName name="T0?L22.2">#REF!</definedName>
    <definedName name="T0?L23" localSheetId="15">#REF!</definedName>
    <definedName name="T0?L23" localSheetId="21">#REF!</definedName>
    <definedName name="T0?L23" localSheetId="46">#REF!</definedName>
    <definedName name="T0?L23" localSheetId="7">#REF!</definedName>
    <definedName name="T0?L23">#REF!</definedName>
    <definedName name="T0?L24" localSheetId="15">#REF!</definedName>
    <definedName name="T0?L24" localSheetId="21">#REF!</definedName>
    <definedName name="T0?L24" localSheetId="46">#REF!</definedName>
    <definedName name="T0?L24" localSheetId="7">#REF!</definedName>
    <definedName name="T0?L24">#REF!</definedName>
    <definedName name="T0?L24.1" localSheetId="15">#REF!</definedName>
    <definedName name="T0?L24.1" localSheetId="21">#REF!</definedName>
    <definedName name="T0?L24.1" localSheetId="46">#REF!</definedName>
    <definedName name="T0?L24.1" localSheetId="7">#REF!</definedName>
    <definedName name="T0?L24.1">#REF!</definedName>
    <definedName name="T0?L24.2" localSheetId="15">#REF!</definedName>
    <definedName name="T0?L24.2" localSheetId="21">#REF!</definedName>
    <definedName name="T0?L24.2" localSheetId="46">#REF!</definedName>
    <definedName name="T0?L24.2" localSheetId="7">#REF!</definedName>
    <definedName name="T0?L24.2">#REF!</definedName>
    <definedName name="T0?L25" localSheetId="15">#REF!</definedName>
    <definedName name="T0?L25" localSheetId="21">#REF!</definedName>
    <definedName name="T0?L25" localSheetId="46">#REF!</definedName>
    <definedName name="T0?L25" localSheetId="7">#REF!</definedName>
    <definedName name="T0?L25">#REF!</definedName>
    <definedName name="T0?L25.1" localSheetId="15">#REF!</definedName>
    <definedName name="T0?L25.1" localSheetId="21">#REF!</definedName>
    <definedName name="T0?L25.1" localSheetId="46">#REF!</definedName>
    <definedName name="T0?L25.1" localSheetId="7">#REF!</definedName>
    <definedName name="T0?L25.1">#REF!</definedName>
    <definedName name="T0?L25.1.1" localSheetId="15">#REF!</definedName>
    <definedName name="T0?L25.1.1" localSheetId="21">#REF!</definedName>
    <definedName name="T0?L25.1.1" localSheetId="46">#REF!</definedName>
    <definedName name="T0?L25.1.1" localSheetId="7">#REF!</definedName>
    <definedName name="T0?L25.1.1">#REF!</definedName>
    <definedName name="T0?L25.1.2" localSheetId="15">#REF!</definedName>
    <definedName name="T0?L25.1.2" localSheetId="21">#REF!</definedName>
    <definedName name="T0?L25.1.2" localSheetId="46">#REF!</definedName>
    <definedName name="T0?L25.1.2" localSheetId="7">#REF!</definedName>
    <definedName name="T0?L25.1.2">#REF!</definedName>
    <definedName name="T0?L25.2" localSheetId="15">#REF!</definedName>
    <definedName name="T0?L25.2" localSheetId="21">#REF!</definedName>
    <definedName name="T0?L25.2" localSheetId="46">#REF!</definedName>
    <definedName name="T0?L25.2" localSheetId="7">#REF!</definedName>
    <definedName name="T0?L25.2">#REF!</definedName>
    <definedName name="T0?L25.3" localSheetId="15">#REF!</definedName>
    <definedName name="T0?L25.3" localSheetId="21">#REF!</definedName>
    <definedName name="T0?L25.3" localSheetId="46">#REF!</definedName>
    <definedName name="T0?L25.3" localSheetId="7">#REF!</definedName>
    <definedName name="T0?L25.3">#REF!</definedName>
    <definedName name="T0?L26.1" localSheetId="15">#REF!</definedName>
    <definedName name="T0?L26.1" localSheetId="21">#REF!</definedName>
    <definedName name="T0?L26.1" localSheetId="46">#REF!</definedName>
    <definedName name="T0?L26.1" localSheetId="7">#REF!</definedName>
    <definedName name="T0?L26.1">#REF!</definedName>
    <definedName name="T0?L26.2" localSheetId="15">#REF!</definedName>
    <definedName name="T0?L26.2" localSheetId="21">#REF!</definedName>
    <definedName name="T0?L26.2" localSheetId="46">#REF!</definedName>
    <definedName name="T0?L26.2" localSheetId="7">#REF!</definedName>
    <definedName name="T0?L26.2">#REF!</definedName>
    <definedName name="T0?L27.1" localSheetId="15">#REF!</definedName>
    <definedName name="T0?L27.1" localSheetId="21">#REF!</definedName>
    <definedName name="T0?L27.1" localSheetId="46">#REF!</definedName>
    <definedName name="T0?L27.1" localSheetId="7">#REF!</definedName>
    <definedName name="T0?L27.1">#REF!</definedName>
    <definedName name="T0?L27.2" localSheetId="15">#REF!</definedName>
    <definedName name="T0?L27.2" localSheetId="21">#REF!</definedName>
    <definedName name="T0?L27.2" localSheetId="46">#REF!</definedName>
    <definedName name="T0?L27.2" localSheetId="7">#REF!</definedName>
    <definedName name="T0?L27.2">#REF!</definedName>
    <definedName name="T0?L3" localSheetId="15">#REF!</definedName>
    <definedName name="T0?L3" localSheetId="21">#REF!</definedName>
    <definedName name="T0?L3" localSheetId="46">#REF!</definedName>
    <definedName name="T0?L3" localSheetId="7">#REF!</definedName>
    <definedName name="T0?L3">#REF!</definedName>
    <definedName name="T0?L4" localSheetId="15">#REF!</definedName>
    <definedName name="T0?L4" localSheetId="21">#REF!</definedName>
    <definedName name="T0?L4" localSheetId="46">#REF!</definedName>
    <definedName name="T0?L4" localSheetId="7">#REF!</definedName>
    <definedName name="T0?L4">#REF!</definedName>
    <definedName name="T0?L5" localSheetId="15">#REF!</definedName>
    <definedName name="T0?L5" localSheetId="21">#REF!</definedName>
    <definedName name="T0?L5" localSheetId="46">#REF!</definedName>
    <definedName name="T0?L5" localSheetId="7">#REF!</definedName>
    <definedName name="T0?L5">#REF!</definedName>
    <definedName name="T0?L6" localSheetId="15">#REF!</definedName>
    <definedName name="T0?L6" localSheetId="21">#REF!</definedName>
    <definedName name="T0?L6" localSheetId="46">#REF!</definedName>
    <definedName name="T0?L6" localSheetId="7">#REF!</definedName>
    <definedName name="T0?L6">#REF!</definedName>
    <definedName name="T0?L7" localSheetId="15">#REF!</definedName>
    <definedName name="T0?L7" localSheetId="21">#REF!</definedName>
    <definedName name="T0?L7" localSheetId="46">#REF!</definedName>
    <definedName name="T0?L7" localSheetId="7">#REF!</definedName>
    <definedName name="T0?L7">#REF!</definedName>
    <definedName name="T0?L7.1" localSheetId="15">#REF!</definedName>
    <definedName name="T0?L7.1" localSheetId="21">#REF!</definedName>
    <definedName name="T0?L7.1" localSheetId="46">#REF!</definedName>
    <definedName name="T0?L7.1" localSheetId="7">#REF!</definedName>
    <definedName name="T0?L7.1">#REF!</definedName>
    <definedName name="T0?L7.1.2" localSheetId="15">#REF!</definedName>
    <definedName name="T0?L7.1.2" localSheetId="21">#REF!</definedName>
    <definedName name="T0?L7.1.2" localSheetId="46">#REF!</definedName>
    <definedName name="T0?L7.1.2" localSheetId="7">#REF!</definedName>
    <definedName name="T0?L7.1.2">#REF!</definedName>
    <definedName name="T0?L7.1.3" localSheetId="15">#REF!</definedName>
    <definedName name="T0?L7.1.3" localSheetId="21">#REF!</definedName>
    <definedName name="T0?L7.1.3" localSheetId="46">#REF!</definedName>
    <definedName name="T0?L7.1.3" localSheetId="7">#REF!</definedName>
    <definedName name="T0?L7.1.3">#REF!</definedName>
    <definedName name="T0?L7.2" localSheetId="15">#REF!</definedName>
    <definedName name="T0?L7.2" localSheetId="21">#REF!</definedName>
    <definedName name="T0?L7.2" localSheetId="46">#REF!</definedName>
    <definedName name="T0?L7.2" localSheetId="7">#REF!</definedName>
    <definedName name="T0?L7.2">#REF!</definedName>
    <definedName name="T0?L7.3" localSheetId="15">#REF!</definedName>
    <definedName name="T0?L7.3" localSheetId="21">#REF!</definedName>
    <definedName name="T0?L7.3" localSheetId="46">#REF!</definedName>
    <definedName name="T0?L7.3" localSheetId="7">#REF!</definedName>
    <definedName name="T0?L7.3">#REF!</definedName>
    <definedName name="T0?L7.4" localSheetId="15">#REF!</definedName>
    <definedName name="T0?L7.4" localSheetId="21">#REF!</definedName>
    <definedName name="T0?L7.4" localSheetId="46">#REF!</definedName>
    <definedName name="T0?L7.4" localSheetId="7">#REF!</definedName>
    <definedName name="T0?L7.4">#REF!</definedName>
    <definedName name="T0?L7.5" localSheetId="15">#REF!</definedName>
    <definedName name="T0?L7.5" localSheetId="21">#REF!</definedName>
    <definedName name="T0?L7.5" localSheetId="46">#REF!</definedName>
    <definedName name="T0?L7.5" localSheetId="7">#REF!</definedName>
    <definedName name="T0?L7.5">#REF!</definedName>
    <definedName name="T0?L7.6" localSheetId="15">#REF!</definedName>
    <definedName name="T0?L7.6" localSheetId="21">#REF!</definedName>
    <definedName name="T0?L7.6" localSheetId="46">#REF!</definedName>
    <definedName name="T0?L7.6" localSheetId="7">#REF!</definedName>
    <definedName name="T0?L7.6">#REF!</definedName>
    <definedName name="T0?L7.7" localSheetId="15">#REF!</definedName>
    <definedName name="T0?L7.7" localSheetId="21">#REF!</definedName>
    <definedName name="T0?L7.7" localSheetId="46">#REF!</definedName>
    <definedName name="T0?L7.7" localSheetId="7">#REF!</definedName>
    <definedName name="T0?L7.7">#REF!</definedName>
    <definedName name="T0?L7.7.1" localSheetId="15">#REF!</definedName>
    <definedName name="T0?L7.7.1" localSheetId="21">#REF!</definedName>
    <definedName name="T0?L7.7.1" localSheetId="46">#REF!</definedName>
    <definedName name="T0?L7.7.1" localSheetId="7">#REF!</definedName>
    <definedName name="T0?L7.7.1">#REF!</definedName>
    <definedName name="T0?L7.7.10" localSheetId="15">#REF!</definedName>
    <definedName name="T0?L7.7.10" localSheetId="21">#REF!</definedName>
    <definedName name="T0?L7.7.10" localSheetId="46">#REF!</definedName>
    <definedName name="T0?L7.7.10" localSheetId="7">#REF!</definedName>
    <definedName name="T0?L7.7.10">#REF!</definedName>
    <definedName name="T0?L7.7.11" localSheetId="15">#REF!</definedName>
    <definedName name="T0?L7.7.11" localSheetId="21">#REF!</definedName>
    <definedName name="T0?L7.7.11" localSheetId="46">#REF!</definedName>
    <definedName name="T0?L7.7.11" localSheetId="7">#REF!</definedName>
    <definedName name="T0?L7.7.11">#REF!</definedName>
    <definedName name="T0?L7.7.12" localSheetId="15">#REF!</definedName>
    <definedName name="T0?L7.7.12" localSheetId="21">#REF!</definedName>
    <definedName name="T0?L7.7.12" localSheetId="46">#REF!</definedName>
    <definedName name="T0?L7.7.12" localSheetId="7">#REF!</definedName>
    <definedName name="T0?L7.7.12">#REF!</definedName>
    <definedName name="T0?L7.7.2" localSheetId="15">#REF!</definedName>
    <definedName name="T0?L7.7.2" localSheetId="21">#REF!</definedName>
    <definedName name="T0?L7.7.2" localSheetId="46">#REF!</definedName>
    <definedName name="T0?L7.7.2" localSheetId="7">#REF!</definedName>
    <definedName name="T0?L7.7.2">#REF!</definedName>
    <definedName name="T0?L7.7.3" localSheetId="15">#REF!</definedName>
    <definedName name="T0?L7.7.3" localSheetId="21">#REF!</definedName>
    <definedName name="T0?L7.7.3" localSheetId="46">#REF!</definedName>
    <definedName name="T0?L7.7.3" localSheetId="7">#REF!</definedName>
    <definedName name="T0?L7.7.3">#REF!</definedName>
    <definedName name="T0?L7.7.4" localSheetId="15">#REF!</definedName>
    <definedName name="T0?L7.7.4" localSheetId="21">#REF!</definedName>
    <definedName name="T0?L7.7.4" localSheetId="46">#REF!</definedName>
    <definedName name="T0?L7.7.4" localSheetId="7">#REF!</definedName>
    <definedName name="T0?L7.7.4">#REF!</definedName>
    <definedName name="T0?L7.7.4.1" localSheetId="15">#REF!</definedName>
    <definedName name="T0?L7.7.4.1" localSheetId="21">#REF!</definedName>
    <definedName name="T0?L7.7.4.1" localSheetId="46">#REF!</definedName>
    <definedName name="T0?L7.7.4.1" localSheetId="7">#REF!</definedName>
    <definedName name="T0?L7.7.4.1">#REF!</definedName>
    <definedName name="T0?L7.7.4.3" localSheetId="15">#REF!</definedName>
    <definedName name="T0?L7.7.4.3" localSheetId="21">#REF!</definedName>
    <definedName name="T0?L7.7.4.3" localSheetId="46">#REF!</definedName>
    <definedName name="T0?L7.7.4.3" localSheetId="7">#REF!</definedName>
    <definedName name="T0?L7.7.4.3">#REF!</definedName>
    <definedName name="T0?L7.7.4.4" localSheetId="15">#REF!</definedName>
    <definedName name="T0?L7.7.4.4" localSheetId="21">#REF!</definedName>
    <definedName name="T0?L7.7.4.4" localSheetId="46">#REF!</definedName>
    <definedName name="T0?L7.7.4.4" localSheetId="7">#REF!</definedName>
    <definedName name="T0?L7.7.4.4">#REF!</definedName>
    <definedName name="T0?L7.7.4.5" localSheetId="15">#REF!</definedName>
    <definedName name="T0?L7.7.4.5" localSheetId="21">#REF!</definedName>
    <definedName name="T0?L7.7.4.5" localSheetId="46">#REF!</definedName>
    <definedName name="T0?L7.7.4.5" localSheetId="7">#REF!</definedName>
    <definedName name="T0?L7.7.4.5">#REF!</definedName>
    <definedName name="T0?L7.7.5" localSheetId="15">#REF!</definedName>
    <definedName name="T0?L7.7.5" localSheetId="21">#REF!</definedName>
    <definedName name="T0?L7.7.5" localSheetId="46">#REF!</definedName>
    <definedName name="T0?L7.7.5" localSheetId="7">#REF!</definedName>
    <definedName name="T0?L7.7.5">#REF!</definedName>
    <definedName name="T0?L7.7.6" localSheetId="15">#REF!</definedName>
    <definedName name="T0?L7.7.6" localSheetId="21">#REF!</definedName>
    <definedName name="T0?L7.7.6" localSheetId="46">#REF!</definedName>
    <definedName name="T0?L7.7.6" localSheetId="7">#REF!</definedName>
    <definedName name="T0?L7.7.6">#REF!</definedName>
    <definedName name="T0?L7.7.7" localSheetId="15">#REF!</definedName>
    <definedName name="T0?L7.7.7" localSheetId="21">#REF!</definedName>
    <definedName name="T0?L7.7.7" localSheetId="46">#REF!</definedName>
    <definedName name="T0?L7.7.7" localSheetId="7">#REF!</definedName>
    <definedName name="T0?L7.7.7">#REF!</definedName>
    <definedName name="T0?L7.7.8" localSheetId="15">#REF!</definedName>
    <definedName name="T0?L7.7.8" localSheetId="21">#REF!</definedName>
    <definedName name="T0?L7.7.8" localSheetId="46">#REF!</definedName>
    <definedName name="T0?L7.7.8" localSheetId="7">#REF!</definedName>
    <definedName name="T0?L7.7.8">#REF!</definedName>
    <definedName name="T0?L7.7.9" localSheetId="15">#REF!</definedName>
    <definedName name="T0?L7.7.9" localSheetId="21">#REF!</definedName>
    <definedName name="T0?L7.7.9" localSheetId="46">#REF!</definedName>
    <definedName name="T0?L7.7.9" localSheetId="7">#REF!</definedName>
    <definedName name="T0?L7.7.9">#REF!</definedName>
    <definedName name="T0?L8" localSheetId="15">#REF!</definedName>
    <definedName name="T0?L8" localSheetId="21">#REF!</definedName>
    <definedName name="T0?L8" localSheetId="46">#REF!</definedName>
    <definedName name="T0?L8" localSheetId="7">#REF!</definedName>
    <definedName name="T0?L8">#REF!</definedName>
    <definedName name="T0?L8.1" localSheetId="15">#REF!</definedName>
    <definedName name="T0?L8.1" localSheetId="21">#REF!</definedName>
    <definedName name="T0?L8.1" localSheetId="46">#REF!</definedName>
    <definedName name="T0?L8.1" localSheetId="7">#REF!</definedName>
    <definedName name="T0?L8.1">#REF!</definedName>
    <definedName name="T0?L8.2" localSheetId="15">#REF!</definedName>
    <definedName name="T0?L8.2" localSheetId="21">#REF!</definedName>
    <definedName name="T0?L8.2" localSheetId="46">#REF!</definedName>
    <definedName name="T0?L8.2" localSheetId="7">#REF!</definedName>
    <definedName name="T0?L8.2">#REF!</definedName>
    <definedName name="T0?L8.3" localSheetId="15">#REF!</definedName>
    <definedName name="T0?L8.3" localSheetId="21">#REF!</definedName>
    <definedName name="T0?L8.3" localSheetId="46">#REF!</definedName>
    <definedName name="T0?L8.3" localSheetId="7">#REF!</definedName>
    <definedName name="T0?L8.3">#REF!</definedName>
    <definedName name="T0?L8.4" localSheetId="15">#REF!</definedName>
    <definedName name="T0?L8.4" localSheetId="21">#REF!</definedName>
    <definedName name="T0?L8.4" localSheetId="46">#REF!</definedName>
    <definedName name="T0?L8.4" localSheetId="7">#REF!</definedName>
    <definedName name="T0?L8.4">#REF!</definedName>
    <definedName name="T0?L8.5" localSheetId="15">#REF!</definedName>
    <definedName name="T0?L8.5" localSheetId="21">#REF!</definedName>
    <definedName name="T0?L8.5" localSheetId="46">#REF!</definedName>
    <definedName name="T0?L8.5" localSheetId="7">#REF!</definedName>
    <definedName name="T0?L8.5">#REF!</definedName>
    <definedName name="T0?L8.6" localSheetId="15">#REF!</definedName>
    <definedName name="T0?L8.6" localSheetId="21">#REF!</definedName>
    <definedName name="T0?L8.6" localSheetId="46">#REF!</definedName>
    <definedName name="T0?L8.6" localSheetId="7">#REF!</definedName>
    <definedName name="T0?L8.6">#REF!</definedName>
    <definedName name="T0?L9" localSheetId="15">#REF!</definedName>
    <definedName name="T0?L9" localSheetId="21">#REF!</definedName>
    <definedName name="T0?L9" localSheetId="46">#REF!</definedName>
    <definedName name="T0?L9" localSheetId="7">#REF!</definedName>
    <definedName name="T0?L9">#REF!</definedName>
    <definedName name="T0?L9.1" localSheetId="15">#REF!</definedName>
    <definedName name="T0?L9.1" localSheetId="21">#REF!</definedName>
    <definedName name="T0?L9.1" localSheetId="46">#REF!</definedName>
    <definedName name="T0?L9.1" localSheetId="7">#REF!</definedName>
    <definedName name="T0?L9.1">#REF!</definedName>
    <definedName name="T0?L9.2" localSheetId="15">#REF!</definedName>
    <definedName name="T0?L9.2" localSheetId="21">#REF!</definedName>
    <definedName name="T0?L9.2" localSheetId="46">#REF!</definedName>
    <definedName name="T0?L9.2" localSheetId="7">#REF!</definedName>
    <definedName name="T0?L9.2">#REF!</definedName>
    <definedName name="T0?L9.3" localSheetId="15">#REF!</definedName>
    <definedName name="T0?L9.3" localSheetId="21">#REF!</definedName>
    <definedName name="T0?L9.3" localSheetId="46">#REF!</definedName>
    <definedName name="T0?L9.3" localSheetId="7">#REF!</definedName>
    <definedName name="T0?L9.3">#REF!</definedName>
    <definedName name="T0?L9.3.1" localSheetId="15">#REF!</definedName>
    <definedName name="T0?L9.3.1" localSheetId="21">#REF!</definedName>
    <definedName name="T0?L9.3.1" localSheetId="46">#REF!</definedName>
    <definedName name="T0?L9.3.1" localSheetId="7">#REF!</definedName>
    <definedName name="T0?L9.3.1">#REF!</definedName>
    <definedName name="T0?L9.3.2" localSheetId="15">#REF!</definedName>
    <definedName name="T0?L9.3.2" localSheetId="21">#REF!</definedName>
    <definedName name="T0?L9.3.2" localSheetId="46">#REF!</definedName>
    <definedName name="T0?L9.3.2" localSheetId="7">#REF!</definedName>
    <definedName name="T0?L9.3.2">#REF!</definedName>
    <definedName name="T0?Name" localSheetId="15">#REF!</definedName>
    <definedName name="T0?Name" localSheetId="21">#REF!</definedName>
    <definedName name="T0?Name" localSheetId="46">#REF!</definedName>
    <definedName name="T0?Name" localSheetId="7">#REF!</definedName>
    <definedName name="T0?Name">#REF!</definedName>
    <definedName name="T0?Table" localSheetId="15">#REF!</definedName>
    <definedName name="T0?Table" localSheetId="21">#REF!</definedName>
    <definedName name="T0?Table" localSheetId="46">#REF!</definedName>
    <definedName name="T0?Table" localSheetId="7">#REF!</definedName>
    <definedName name="T0?Table">#REF!</definedName>
    <definedName name="T0?Title" localSheetId="15">#REF!</definedName>
    <definedName name="T0?Title" localSheetId="21">#REF!</definedName>
    <definedName name="T0?Title" localSheetId="46">#REF!</definedName>
    <definedName name="T0?Title" localSheetId="7">#REF!</definedName>
    <definedName name="T0?Title">#REF!</definedName>
    <definedName name="T0?unit?МВТ">'[3]0'!$D$8:$H$8,   '[3]0'!$D$86:$H$86</definedName>
    <definedName name="T0?unit?МКВТЧ" localSheetId="15">#REF!</definedName>
    <definedName name="T0?unit?МКВТЧ" localSheetId="21">#REF!</definedName>
    <definedName name="T0?unit?МКВТЧ" localSheetId="46">#REF!</definedName>
    <definedName name="T0?unit?МКВТЧ" localSheetId="47">#REF!</definedName>
    <definedName name="T0?unit?МКВТЧ" localSheetId="7">#REF!</definedName>
    <definedName name="T0?unit?МКВТЧ">#REF!</definedName>
    <definedName name="T0?unit?ПРЦ">'[3]0'!$D$87:$H$88,   '[3]0'!$D$96:$H$97,   '[3]0'!$D$107:$H$108,   '[3]0'!$D$111:$H$112,   '[3]0'!$I$7:$L$112</definedName>
    <definedName name="T0?unit?РУБ.ГКАЛ">'[3]0'!$D$89:$H$89,   '[3]0'!$D$92:$H$92</definedName>
    <definedName name="T0?unit?РУБ.МВТ.МЕС" localSheetId="15">#REF!</definedName>
    <definedName name="T0?unit?РУБ.МВТ.МЕС" localSheetId="21">#REF!</definedName>
    <definedName name="T0?unit?РУБ.МВТ.МЕС" localSheetId="46">#REF!</definedName>
    <definedName name="T0?unit?РУБ.МВТ.МЕС" localSheetId="47">#REF!</definedName>
    <definedName name="T0?unit?РУБ.МВТ.МЕС" localSheetId="7">#REF!</definedName>
    <definedName name="T0?unit?РУБ.МВТ.МЕС">#REF!</definedName>
    <definedName name="T0?unit?РУБ.ТКВТЧ" localSheetId="15">#REF!</definedName>
    <definedName name="T0?unit?РУБ.ТКВТЧ" localSheetId="21">#REF!</definedName>
    <definedName name="T0?unit?РУБ.ТКВТЧ" localSheetId="46">#REF!</definedName>
    <definedName name="T0?unit?РУБ.ТКВТЧ" localSheetId="7">#REF!</definedName>
    <definedName name="T0?unit?РУБ.ТКВТЧ">#REF!</definedName>
    <definedName name="T0?unit?ТГКАЛ" localSheetId="15">#REF!</definedName>
    <definedName name="T0?unit?ТГКАЛ" localSheetId="21">#REF!</definedName>
    <definedName name="T0?unit?ТГКАЛ" localSheetId="46">#REF!</definedName>
    <definedName name="T0?unit?ТГКАЛ" localSheetId="7">#REF!</definedName>
    <definedName name="T0?unit?ТГКАЛ">#REF!</definedName>
    <definedName name="T0?unit?ТРУБ">'[3]0'!$D$14:$H$52,   '[3]0'!$D$54:$H$59,   '[3]0'!$D$63:$H$64,   '[3]0'!$D$68:$H$70,   '[3]0'!$D$72:$H$74,   '[3]0'!$D$77:$H$77,   '[3]0'!$D$79:$H$81,   '[3]0'!$D$90:$H$91,   '[3]0'!$D$99:$H$104,   '[3]0'!$D$78:$H$78</definedName>
    <definedName name="T1_2_Copy" localSheetId="15">#REF!</definedName>
    <definedName name="T1_2_Copy" localSheetId="21">#REF!</definedName>
    <definedName name="T1_2_Copy" localSheetId="46">#REF!</definedName>
    <definedName name="T1_2_Copy" localSheetId="47">#REF!</definedName>
    <definedName name="T1_2_Copy" localSheetId="7">#REF!</definedName>
    <definedName name="T1_2_Copy">#REF!</definedName>
    <definedName name="T1_Add_Town" localSheetId="15">#REF!</definedName>
    <definedName name="T1_Add_Town" localSheetId="21">#REF!</definedName>
    <definedName name="T1_Add_Town" localSheetId="46">#REF!</definedName>
    <definedName name="T1_Add_Town" localSheetId="7">#REF!</definedName>
    <definedName name="T1_Add_Town">#REF!</definedName>
    <definedName name="T1_Copy" localSheetId="15">#REF!</definedName>
    <definedName name="T1_Copy" localSheetId="21">#REF!</definedName>
    <definedName name="T1_Copy" localSheetId="46">#REF!</definedName>
    <definedName name="T1_Copy" localSheetId="7">#REF!</definedName>
    <definedName name="T1_Copy">#REF!</definedName>
    <definedName name="T1_Protect" localSheetId="47">P15_T1_Protect,P16_T1_Protect,P17_T1_Protect,'28-1_Ливневка'!P18_T1_Protect,'28-1_Ливневка'!P19_T1_Protect</definedName>
    <definedName name="T1_Protect">P15_T1_Protect,P16_T1_Protect,P17_T1_Protect,P18_T1_Protect,P19_T1_Protect</definedName>
    <definedName name="T1_unpr_all">'[29]1'!$G$14:$L$66,'[29]1'!$N$14:$S$66,'[29]1'!$U$14:$Z$66,'[29]1'!$U$77:$Z$122,'[29]1'!$N$77:$S$122,'[29]1'!$G$77:$L$122,'[29]1'!$G$140:$L$185,'[29]1'!$N$140:$S$185,'[29]1'!$U$140:$Z$185,'[29]1'!$U$207:$Z$252,'[29]1'!$N$207:$S$252,'[29]1'!$G$207:$L$252,'[29]1'!$G$275:$L$320,'[29]1'!$N$275:$S$320,'[29]1'!$U$275:$Z$320</definedName>
    <definedName name="T1_Unprotected" localSheetId="15">#REF!,#REF!,#REF!,#REF!,#REF!,#REF!,#REF!,#REF!</definedName>
    <definedName name="T1_Unprotected" localSheetId="21">#REF!,#REF!,#REF!,#REF!,#REF!,#REF!,#REF!,#REF!</definedName>
    <definedName name="T1_Unprotected" localSheetId="46">#REF!,#REF!,#REF!,#REF!,#REF!,#REF!,#REF!,#REF!</definedName>
    <definedName name="T1_Unprotected" localSheetId="47">#REF!,#REF!,#REF!,#REF!,#REF!,#REF!,#REF!,#REF!</definedName>
    <definedName name="T1_Unprotected" localSheetId="7">#REF!,#REF!,#REF!,#REF!,#REF!,#REF!,#REF!,#REF!</definedName>
    <definedName name="T1_Unprotected">#REF!,#REF!,#REF!,#REF!,#REF!,#REF!,#REF!,#REF!</definedName>
    <definedName name="T1?axis?ПРД?БАЗ">'[3]1'!$I$6:$J$23,'[3]1'!$F$6:$G$23</definedName>
    <definedName name="T1?axis?ПРД?ПРЕД">'[3]1'!$K$6:$L$23,'[3]1'!$D$6:$E$23</definedName>
    <definedName name="T1?axis?ПРД?РЕГ" localSheetId="15">#REF!</definedName>
    <definedName name="T1?axis?ПРД?РЕГ" localSheetId="21">#REF!</definedName>
    <definedName name="T1?axis?ПРД?РЕГ" localSheetId="46">#REF!</definedName>
    <definedName name="T1?axis?ПРД?РЕГ" localSheetId="47">#REF!</definedName>
    <definedName name="T1?axis?ПРД?РЕГ" localSheetId="7">#REF!</definedName>
    <definedName name="T1?axis?ПРД?РЕГ">#REF!</definedName>
    <definedName name="T1?axis?ПРД2?2005" localSheetId="15">'10-1_К-ция_ПП'!P1_T1?axis?ПРД2?2005,'10-1_К-ция_ПП'!P2_T1?axis?ПРД2?2005,'10-1_К-ция_ПП'!P3_T1?axis?ПРД2?2005</definedName>
    <definedName name="T1?axis?ПРД2?2005" localSheetId="21">'15_Пер. Расх_дин'!P1_T1?axis?ПРД2?2005,'15_Пер. Расх_дин'!P2_T1?axis?ПРД2?2005,'15_Пер. Расх_дин'!P3_T1?axis?ПРД2?2005</definedName>
    <definedName name="T1?axis?ПРД2?2005" localSheetId="46">'28_Кан-ция'!P1_T1?axis?ПРД2?2005,'28_Кан-ция'!P2_T1?axis?ПРД2?2005,'28_Кан-ция'!P3_T1?axis?ПРД2?2005</definedName>
    <definedName name="T1?axis?ПРД2?2005" localSheetId="47">P1_T1?axis?ПРД2?2005,P2_T1?axis?ПРД2?2005,P3_T1?axis?ПРД2?2005</definedName>
    <definedName name="T1?axis?ПРД2?2005" localSheetId="7">'5-2_ЦГ'!P1_T1?axis?ПРД2?2005,'5-2_ЦГ'!P2_T1?axis?ПРД2?2005,'5-2_ЦГ'!P3_T1?axis?ПРД2?2005</definedName>
    <definedName name="T1?axis?ПРД2?2005">P1_T1?axis?ПРД2?2005,P2_T1?axis?ПРД2?2005,P3_T1?axis?ПРД2?2005</definedName>
    <definedName name="T1?axis?ПРД2?2006" localSheetId="15">'10-1_К-ция_ПП'!P1_T1?axis?ПРД2?2006,'10-1_К-ция_ПП'!P2_T1?axis?ПРД2?2006,'10-1_К-ция_ПП'!P3_T1?axis?ПРД2?2006</definedName>
    <definedName name="T1?axis?ПРД2?2006" localSheetId="21">'15_Пер. Расх_дин'!P1_T1?axis?ПРД2?2006,'15_Пер. Расх_дин'!P2_T1?axis?ПРД2?2006,'15_Пер. Расх_дин'!P3_T1?axis?ПРД2?2006</definedName>
    <definedName name="T1?axis?ПРД2?2006" localSheetId="46">'28_Кан-ция'!P1_T1?axis?ПРД2?2006,'28_Кан-ция'!P2_T1?axis?ПРД2?2006,'28_Кан-ция'!P3_T1?axis?ПРД2?2006</definedName>
    <definedName name="T1?axis?ПРД2?2006" localSheetId="47">P1_T1?axis?ПРД2?2006,P2_T1?axis?ПРД2?2006,P3_T1?axis?ПРД2?2006</definedName>
    <definedName name="T1?axis?ПРД2?2006" localSheetId="7">'5-2_ЦГ'!P1_T1?axis?ПРД2?2006,'5-2_ЦГ'!P2_T1?axis?ПРД2?2006,'5-2_ЦГ'!P3_T1?axis?ПРД2?2006</definedName>
    <definedName name="T1?axis?ПРД2?2006">P1_T1?axis?ПРД2?2006,P2_T1?axis?ПРД2?2006,P3_T1?axis?ПРД2?2006</definedName>
    <definedName name="T1?axis?ПФ?ПЛАН">'[3]1'!$I$6:$I$23,'[3]1'!$D$6:$D$23,'[3]1'!$K$6:$K$23,'[3]1'!$F$6:$F$23</definedName>
    <definedName name="T1?axis?ПФ?ФАКТ">'[3]1'!$J$6:$J$23,'[3]1'!$E$6:$E$23,'[3]1'!$L$6:$L$23,'[3]1'!$G$6:$G$23</definedName>
    <definedName name="T1?axis?R?ОРГ" localSheetId="15">#REF!</definedName>
    <definedName name="T1?axis?R?ОРГ" localSheetId="21">#REF!</definedName>
    <definedName name="T1?axis?R?ОРГ" localSheetId="46">#REF!</definedName>
    <definedName name="T1?axis?R?ОРГ" localSheetId="47">#REF!</definedName>
    <definedName name="T1?axis?R?ОРГ" localSheetId="7">#REF!</definedName>
    <definedName name="T1?axis?R?ОРГ">#REF!</definedName>
    <definedName name="T1?axis?R?ОРГ?" localSheetId="15">#REF!</definedName>
    <definedName name="T1?axis?R?ОРГ?" localSheetId="21">#REF!</definedName>
    <definedName name="T1?axis?R?ОРГ?" localSheetId="46">#REF!</definedName>
    <definedName name="T1?axis?R?ОРГ?" localSheetId="7">#REF!</definedName>
    <definedName name="T1?axis?R?ОРГ?">#REF!</definedName>
    <definedName name="T1?Data">'[3]1'!$D$6:$L$12,   '[3]1'!$D$14:$L$18,   '[3]1'!$D$20:$L$23</definedName>
    <definedName name="T1?Fuel_type" localSheetId="15">#REF!,#REF!,#REF!,#REF!,#REF!,#REF!,#REF!,#REF!,#REF!,#REF!,'10-1_К-ция_ПП'!P1_T1?Fuel_type</definedName>
    <definedName name="T1?Fuel_type" localSheetId="21">#REF!,#REF!,#REF!,#REF!,#REF!,#REF!,#REF!,#REF!,#REF!,#REF!,'15_Пер. Расх_дин'!P1_T1?Fuel_type</definedName>
    <definedName name="T1?Fuel_type" localSheetId="46">#REF!,#REF!,#REF!,#REF!,#REF!,#REF!,#REF!,#REF!,#REF!,#REF!,'28_Кан-ция'!P1_T1?Fuel_type</definedName>
    <definedName name="T1?Fuel_type" localSheetId="47">#REF!,#REF!,#REF!,#REF!,#REF!,#REF!,#REF!,#REF!,#REF!,#REF!,P1_T1?Fuel_type</definedName>
    <definedName name="T1?Fuel_type" localSheetId="7">#REF!,#REF!,#REF!,#REF!,#REF!,#REF!,#REF!,#REF!,#REF!,#REF!,'5-2_ЦГ'!P1_T1?Fuel_type</definedName>
    <definedName name="T1?Fuel_type">#REF!,#REF!,#REF!,#REF!,#REF!,#REF!,#REF!,#REF!,#REF!,#REF!,P1_T1?Fuel_type</definedName>
    <definedName name="T1?item_ext?РОСТ" localSheetId="15">#REF!</definedName>
    <definedName name="T1?item_ext?РОСТ" localSheetId="21">#REF!</definedName>
    <definedName name="T1?item_ext?РОСТ" localSheetId="46">#REF!</definedName>
    <definedName name="T1?item_ext?РОСТ" localSheetId="47">#REF!</definedName>
    <definedName name="T1?item_ext?РОСТ" localSheetId="7">#REF!</definedName>
    <definedName name="T1?item_ext?РОСТ">#REF!</definedName>
    <definedName name="T1?L1" localSheetId="15">#REF!</definedName>
    <definedName name="T1?L1" localSheetId="21">#REF!</definedName>
    <definedName name="T1?L1" localSheetId="46">#REF!</definedName>
    <definedName name="T1?L1" localSheetId="7">#REF!</definedName>
    <definedName name="T1?L1">#REF!</definedName>
    <definedName name="T1?L1.1.1" localSheetId="15">'10-1_К-ция_ПП'!P1_T1?L1.1.1,'10-1_К-ция_ПП'!P2_T1?L1.1.1,'10-1_К-ция_ПП'!P3_T1?L1.1.1</definedName>
    <definedName name="T1?L1.1.1" localSheetId="21">'15_Пер. Расх_дин'!P1_T1?L1.1.1,'15_Пер. Расх_дин'!P2_T1?L1.1.1,'15_Пер. Расх_дин'!P3_T1?L1.1.1</definedName>
    <definedName name="T1?L1.1.1" localSheetId="46">'28_Кан-ция'!P1_T1?L1.1.1,'28_Кан-ция'!P2_T1?L1.1.1,'28_Кан-ция'!P3_T1?L1.1.1</definedName>
    <definedName name="T1?L1.1.1" localSheetId="47">P1_T1?L1.1.1,P2_T1?L1.1.1,P3_T1?L1.1.1</definedName>
    <definedName name="T1?L1.1.1" localSheetId="7">'5-2_ЦГ'!P1_T1?L1.1.1,'5-2_ЦГ'!P2_T1?L1.1.1,'5-2_ЦГ'!P3_T1?L1.1.1</definedName>
    <definedName name="T1?L1.1.1">P1_T1?L1.1.1,P2_T1?L1.1.1,P3_T1?L1.1.1</definedName>
    <definedName name="T1?L1.1.1.1" localSheetId="15">'10-1_К-ция_ПП'!P1_T1?L1.1.1.1,'10-1_К-ция_ПП'!P2_T1?L1.1.1.1,'10-1_К-ция_ПП'!P3_T1?L1.1.1.1</definedName>
    <definedName name="T1?L1.1.1.1" localSheetId="21">'15_Пер. Расх_дин'!P1_T1?L1.1.1.1,'15_Пер. Расх_дин'!P2_T1?L1.1.1.1,'15_Пер. Расх_дин'!P3_T1?L1.1.1.1</definedName>
    <definedName name="T1?L1.1.1.1" localSheetId="46">'28_Кан-ция'!P1_T1?L1.1.1.1,'28_Кан-ция'!P2_T1?L1.1.1.1,'28_Кан-ция'!P3_T1?L1.1.1.1</definedName>
    <definedName name="T1?L1.1.1.1" localSheetId="47">P1_T1?L1.1.1.1,P2_T1?L1.1.1.1,P3_T1?L1.1.1.1</definedName>
    <definedName name="T1?L1.1.1.1" localSheetId="7">'5-2_ЦГ'!P1_T1?L1.1.1.1,'5-2_ЦГ'!P2_T1?L1.1.1.1,'5-2_ЦГ'!P3_T1?L1.1.1.1</definedName>
    <definedName name="T1?L1.1.1.1">P1_T1?L1.1.1.1,P2_T1?L1.1.1.1,P3_T1?L1.1.1.1</definedName>
    <definedName name="T1?L1.1.2" localSheetId="15">'10-1_К-ция_ПП'!P2_T1?L1.1.2,'10-1_К-ция_ПП'!P3_T1?L1.1.2</definedName>
    <definedName name="T1?L1.1.2" localSheetId="21">'15_Пер. Расх_дин'!P2_T1?L1.1.2,'15_Пер. Расх_дин'!P3_T1?L1.1.2</definedName>
    <definedName name="T1?L1.1.2" localSheetId="46">'28_Кан-ция'!P2_T1?L1.1.2,'28_Кан-ция'!P3_T1?L1.1.2</definedName>
    <definedName name="T1?L1.1.2" localSheetId="47">P2_T1?L1.1.2,'28-1_Ливневка'!P3_T1?L1.1.2</definedName>
    <definedName name="T1?L1.1.2" localSheetId="7">'5-2_ЦГ'!P2_T1?L1.1.2,'5-2_ЦГ'!P3_T1?L1.1.2</definedName>
    <definedName name="T1?L1.1.2">P2_T1?L1.1.2,P3_T1?L1.1.2</definedName>
    <definedName name="T1?L1.1.2.1" localSheetId="15">'10-1_К-ция_ПП'!P1_T1?L1.1.2.1,'10-1_К-ция_ПП'!P2_T1?L1.1.2.1,'10-1_К-ция_ПП'!P3_T1?L1.1.2.1</definedName>
    <definedName name="T1?L1.1.2.1" localSheetId="21">'15_Пер. Расх_дин'!P1_T1?L1.1.2.1,'15_Пер. Расх_дин'!P2_T1?L1.1.2.1,'15_Пер. Расх_дин'!P3_T1?L1.1.2.1</definedName>
    <definedName name="T1?L1.1.2.1" localSheetId="46">'28_Кан-ция'!P1_T1?L1.1.2.1,'28_Кан-ция'!P2_T1?L1.1.2.1,'28_Кан-ция'!P3_T1?L1.1.2.1</definedName>
    <definedName name="T1?L1.1.2.1" localSheetId="47">P1_T1?L1.1.2.1,P2_T1?L1.1.2.1,P3_T1?L1.1.2.1</definedName>
    <definedName name="T1?L1.1.2.1" localSheetId="7">'5-2_ЦГ'!P1_T1?L1.1.2.1,'5-2_ЦГ'!P2_T1?L1.1.2.1,'5-2_ЦГ'!P3_T1?L1.1.2.1</definedName>
    <definedName name="T1?L1.1.2.1">P1_T1?L1.1.2.1,P2_T1?L1.1.2.1,P3_T1?L1.1.2.1</definedName>
    <definedName name="T1?L1.1.2.1.1" localSheetId="15">#REF!,#REF!,#REF!,#REF!,'10-1_К-ция_ПП'!P1_T1?L1.1.2.1.1,'10-1_К-ция_ПП'!P2_T1?L1.1.2.1.1,'10-1_К-ция_ПП'!P3_T1?L1.1.2.1.1</definedName>
    <definedName name="T1?L1.1.2.1.1" localSheetId="21">#REF!,#REF!,#REF!,#REF!,'15_Пер. Расх_дин'!P1_T1?L1.1.2.1.1,'15_Пер. Расх_дин'!P2_T1?L1.1.2.1.1,'15_Пер. Расх_дин'!P3_T1?L1.1.2.1.1</definedName>
    <definedName name="T1?L1.1.2.1.1" localSheetId="46">#REF!,#REF!,#REF!,#REF!,'28_Кан-ция'!P1_T1?L1.1.2.1.1,'28_Кан-ция'!P2_T1?L1.1.2.1.1,'28_Кан-ция'!P3_T1?L1.1.2.1.1</definedName>
    <definedName name="T1?L1.1.2.1.1" localSheetId="47">#REF!,#REF!,#REF!,#REF!,P1_T1?L1.1.2.1.1,P2_T1?L1.1.2.1.1,P3_T1?L1.1.2.1.1</definedName>
    <definedName name="T1?L1.1.2.1.1" localSheetId="7">#REF!,#REF!,#REF!,#REF!,'5-2_ЦГ'!P1_T1?L1.1.2.1.1,'5-2_ЦГ'!P2_T1?L1.1.2.1.1,'5-2_ЦГ'!P3_T1?L1.1.2.1.1</definedName>
    <definedName name="T1?L1.1.2.1.1">#REF!,#REF!,#REF!,#REF!,P1_T1?L1.1.2.1.1,P2_T1?L1.1.2.1.1,P3_T1?L1.1.2.1.1</definedName>
    <definedName name="T1?L1.1.2.1.2" localSheetId="15">#REF!,#REF!,#REF!,#REF!,'10-1_К-ция_ПП'!P1_T1?L1.1.2.1.2,'10-1_К-ция_ПП'!P2_T1?L1.1.2.1.2,'10-1_К-ция_ПП'!P3_T1?L1.1.2.1.2</definedName>
    <definedName name="T1?L1.1.2.1.2" localSheetId="21">#REF!,#REF!,#REF!,#REF!,'15_Пер. Расх_дин'!P1_T1?L1.1.2.1.2,'15_Пер. Расх_дин'!P2_T1?L1.1.2.1.2,'15_Пер. Расх_дин'!P3_T1?L1.1.2.1.2</definedName>
    <definedName name="T1?L1.1.2.1.2" localSheetId="46">#REF!,#REF!,#REF!,#REF!,'28_Кан-ция'!P1_T1?L1.1.2.1.2,'28_Кан-ция'!P2_T1?L1.1.2.1.2,'28_Кан-ция'!P3_T1?L1.1.2.1.2</definedName>
    <definedName name="T1?L1.1.2.1.2" localSheetId="47">#REF!,#REF!,#REF!,#REF!,P1_T1?L1.1.2.1.2,P2_T1?L1.1.2.1.2,P3_T1?L1.1.2.1.2</definedName>
    <definedName name="T1?L1.1.2.1.2" localSheetId="7">#REF!,#REF!,#REF!,#REF!,'5-2_ЦГ'!P1_T1?L1.1.2.1.2,'5-2_ЦГ'!P2_T1?L1.1.2.1.2,'5-2_ЦГ'!P3_T1?L1.1.2.1.2</definedName>
    <definedName name="T1?L1.1.2.1.2">#REF!,#REF!,#REF!,#REF!,P1_T1?L1.1.2.1.2,P2_T1?L1.1.2.1.2,P3_T1?L1.1.2.1.2</definedName>
    <definedName name="T1?L1.1.2.1.3" localSheetId="15">#REF!,#REF!,#REF!,#REF!,'10-1_К-ция_ПП'!P1_T1?L1.1.2.1.3,'10-1_К-ция_ПП'!P2_T1?L1.1.2.1.3,'10-1_К-ция_ПП'!P3_T1?L1.1.2.1.3</definedName>
    <definedName name="T1?L1.1.2.1.3" localSheetId="21">#REF!,#REF!,#REF!,#REF!,'15_Пер. Расх_дин'!P1_T1?L1.1.2.1.3,'15_Пер. Расх_дин'!P2_T1?L1.1.2.1.3,'15_Пер. Расх_дин'!P3_T1?L1.1.2.1.3</definedName>
    <definedName name="T1?L1.1.2.1.3" localSheetId="46">#REF!,#REF!,#REF!,#REF!,'28_Кан-ция'!P1_T1?L1.1.2.1.3,'28_Кан-ция'!P2_T1?L1.1.2.1.3,'28_Кан-ция'!P3_T1?L1.1.2.1.3</definedName>
    <definedName name="T1?L1.1.2.1.3" localSheetId="47">#REF!,#REF!,#REF!,#REF!,P1_T1?L1.1.2.1.3,P2_T1?L1.1.2.1.3,P3_T1?L1.1.2.1.3</definedName>
    <definedName name="T1?L1.1.2.1.3" localSheetId="7">#REF!,#REF!,#REF!,#REF!,'5-2_ЦГ'!P1_T1?L1.1.2.1.3,'5-2_ЦГ'!P2_T1?L1.1.2.1.3,'5-2_ЦГ'!P3_T1?L1.1.2.1.3</definedName>
    <definedName name="T1?L1.1.2.1.3">#REF!,#REF!,#REF!,#REF!,P1_T1?L1.1.2.1.3,P2_T1?L1.1.2.1.3,P3_T1?L1.1.2.1.3</definedName>
    <definedName name="T1?L1.1.2.2" localSheetId="15">'10-1_К-ция_ПП'!P1_T1?L1.1.2.2,'10-1_К-ция_ПП'!P2_T1?L1.1.2.2,'10-1_К-ция_ПП'!P3_T1?L1.1.2.2</definedName>
    <definedName name="T1?L1.1.2.2" localSheetId="21">'15_Пер. Расх_дин'!P1_T1?L1.1.2.2,'15_Пер. Расх_дин'!P2_T1?L1.1.2.2,'15_Пер. Расх_дин'!P3_T1?L1.1.2.2</definedName>
    <definedName name="T1?L1.1.2.2" localSheetId="46">'28_Кан-ция'!P1_T1?L1.1.2.2,'28_Кан-ция'!P2_T1?L1.1.2.2,'28_Кан-ция'!P3_T1?L1.1.2.2</definedName>
    <definedName name="T1?L1.1.2.2" localSheetId="47">P1_T1?L1.1.2.2,P2_T1?L1.1.2.2,P3_T1?L1.1.2.2</definedName>
    <definedName name="T1?L1.1.2.2" localSheetId="7">'5-2_ЦГ'!P1_T1?L1.1.2.2,'5-2_ЦГ'!P2_T1?L1.1.2.2,'5-2_ЦГ'!P3_T1?L1.1.2.2</definedName>
    <definedName name="T1?L1.1.2.2">P1_T1?L1.1.2.2,P2_T1?L1.1.2.2,P3_T1?L1.1.2.2</definedName>
    <definedName name="T1?L1.1.2.3" localSheetId="15">'10-1_К-ция_ПП'!P1_T1?L1.1.2.3,'10-1_К-ция_ПП'!P2_T1?L1.1.2.3,'10-1_К-ция_ПП'!P3_T1?L1.1.2.3</definedName>
    <definedName name="T1?L1.1.2.3" localSheetId="21">'15_Пер. Расх_дин'!P1_T1?L1.1.2.3,'15_Пер. Расх_дин'!P2_T1?L1.1.2.3,'15_Пер. Расх_дин'!P3_T1?L1.1.2.3</definedName>
    <definedName name="T1?L1.1.2.3" localSheetId="46">'28_Кан-ция'!P1_T1?L1.1.2.3,'28_Кан-ция'!P2_T1?L1.1.2.3,'28_Кан-ция'!P3_T1?L1.1.2.3</definedName>
    <definedName name="T1?L1.1.2.3" localSheetId="47">P1_T1?L1.1.2.3,P2_T1?L1.1.2.3,P3_T1?L1.1.2.3</definedName>
    <definedName name="T1?L1.1.2.3" localSheetId="7">'5-2_ЦГ'!P1_T1?L1.1.2.3,'5-2_ЦГ'!P2_T1?L1.1.2.3,'5-2_ЦГ'!P3_T1?L1.1.2.3</definedName>
    <definedName name="T1?L1.1.2.3">P1_T1?L1.1.2.3,P2_T1?L1.1.2.3,P3_T1?L1.1.2.3</definedName>
    <definedName name="T1?L1.1.2.4" localSheetId="15">'10-1_К-ция_ПП'!P1_T1?L1.1.2.4,'10-1_К-ция_ПП'!P2_T1?L1.1.2.4,'10-1_К-ция_ПП'!P3_T1?L1.1.2.4</definedName>
    <definedName name="T1?L1.1.2.4" localSheetId="21">'15_Пер. Расх_дин'!P1_T1?L1.1.2.4,'15_Пер. Расх_дин'!P2_T1?L1.1.2.4,'15_Пер. Расх_дин'!P3_T1?L1.1.2.4</definedName>
    <definedName name="T1?L1.1.2.4" localSheetId="46">'28_Кан-ция'!P1_T1?L1.1.2.4,'28_Кан-ция'!P2_T1?L1.1.2.4,'28_Кан-ция'!P3_T1?L1.1.2.4</definedName>
    <definedName name="T1?L1.1.2.4" localSheetId="47">P1_T1?L1.1.2.4,P2_T1?L1.1.2.4,P3_T1?L1.1.2.4</definedName>
    <definedName name="T1?L1.1.2.4" localSheetId="7">'5-2_ЦГ'!P1_T1?L1.1.2.4,'5-2_ЦГ'!P2_T1?L1.1.2.4,'5-2_ЦГ'!P3_T1?L1.1.2.4</definedName>
    <definedName name="T1?L1.1.2.4">P1_T1?L1.1.2.4,P2_T1?L1.1.2.4,P3_T1?L1.1.2.4</definedName>
    <definedName name="T1?L1.1.2.5" localSheetId="15">'10-1_К-ция_ПП'!P1_T1?L1.1.2.5,'10-1_К-ция_ПП'!P2_T1?L1.1.2.5,'10-1_К-ция_ПП'!P3_T1?L1.1.2.5</definedName>
    <definedName name="T1?L1.1.2.5" localSheetId="21">'15_Пер. Расх_дин'!P1_T1?L1.1.2.5,'15_Пер. Расх_дин'!P2_T1?L1.1.2.5,'15_Пер. Расх_дин'!P3_T1?L1.1.2.5</definedName>
    <definedName name="T1?L1.1.2.5" localSheetId="46">'28_Кан-ция'!P1_T1?L1.1.2.5,'28_Кан-ция'!P2_T1?L1.1.2.5,'28_Кан-ция'!P3_T1?L1.1.2.5</definedName>
    <definedName name="T1?L1.1.2.5" localSheetId="47">P1_T1?L1.1.2.5,P2_T1?L1.1.2.5,P3_T1?L1.1.2.5</definedName>
    <definedName name="T1?L1.1.2.5" localSheetId="7">'5-2_ЦГ'!P1_T1?L1.1.2.5,'5-2_ЦГ'!P2_T1?L1.1.2.5,'5-2_ЦГ'!P3_T1?L1.1.2.5</definedName>
    <definedName name="T1?L1.1.2.5">P1_T1?L1.1.2.5,P2_T1?L1.1.2.5,P3_T1?L1.1.2.5</definedName>
    <definedName name="T1?L1.1.2.6" localSheetId="15">'10-1_К-ция_ПП'!P1_T1?L1.1.2.6,'10-1_К-ция_ПП'!P2_T1?L1.1.2.6,'10-1_К-ция_ПП'!P3_T1?L1.1.2.6</definedName>
    <definedName name="T1?L1.1.2.6" localSheetId="21">'15_Пер. Расх_дин'!P1_T1?L1.1.2.6,'15_Пер. Расх_дин'!P2_T1?L1.1.2.6,'15_Пер. Расх_дин'!P3_T1?L1.1.2.6</definedName>
    <definedName name="T1?L1.1.2.6" localSheetId="46">'28_Кан-ция'!P1_T1?L1.1.2.6,'28_Кан-ция'!P2_T1?L1.1.2.6,'28_Кан-ция'!P3_T1?L1.1.2.6</definedName>
    <definedName name="T1?L1.1.2.6" localSheetId="47">P1_T1?L1.1.2.6,P2_T1?L1.1.2.6,P3_T1?L1.1.2.6</definedName>
    <definedName name="T1?L1.1.2.6" localSheetId="7">'5-2_ЦГ'!P1_T1?L1.1.2.6,'5-2_ЦГ'!P2_T1?L1.1.2.6,'5-2_ЦГ'!P3_T1?L1.1.2.6</definedName>
    <definedName name="T1?L1.1.2.6">P1_T1?L1.1.2.6,P2_T1?L1.1.2.6,P3_T1?L1.1.2.6</definedName>
    <definedName name="T1?L1.1.2.7" localSheetId="15">'10-1_К-ция_ПП'!P1_T1?L1.1.2.7,'10-1_К-ция_ПП'!P2_T1?L1.1.2.7,'10-1_К-ция_ПП'!P3_T1?L1.1.2.7</definedName>
    <definedName name="T1?L1.1.2.7" localSheetId="21">'15_Пер. Расх_дин'!P1_T1?L1.1.2.7,'15_Пер. Расх_дин'!P2_T1?L1.1.2.7,'15_Пер. Расх_дин'!P3_T1?L1.1.2.7</definedName>
    <definedName name="T1?L1.1.2.7" localSheetId="46">'28_Кан-ция'!P1_T1?L1.1.2.7,'28_Кан-ция'!P2_T1?L1.1.2.7,'28_Кан-ция'!P3_T1?L1.1.2.7</definedName>
    <definedName name="T1?L1.1.2.7" localSheetId="47">P1_T1?L1.1.2.7,P2_T1?L1.1.2.7,P3_T1?L1.1.2.7</definedName>
    <definedName name="T1?L1.1.2.7" localSheetId="7">'5-2_ЦГ'!P1_T1?L1.1.2.7,'5-2_ЦГ'!P2_T1?L1.1.2.7,'5-2_ЦГ'!P3_T1?L1.1.2.7</definedName>
    <definedName name="T1?L1.1.2.7">P1_T1?L1.1.2.7,P2_T1?L1.1.2.7,P3_T1?L1.1.2.7</definedName>
    <definedName name="T1?L1.1.2.7.1" localSheetId="15">'10-1_К-ция_ПП'!P1_T1?L1.1.2.7.1,'10-1_К-ция_ПП'!P2_T1?L1.1.2.7.1,'10-1_К-ция_ПП'!P3_T1?L1.1.2.7.1</definedName>
    <definedName name="T1?L1.1.2.7.1" localSheetId="21">'15_Пер. Расх_дин'!P1_T1?L1.1.2.7.1,'15_Пер. Расх_дин'!P2_T1?L1.1.2.7.1,'15_Пер. Расх_дин'!P3_T1?L1.1.2.7.1</definedName>
    <definedName name="T1?L1.1.2.7.1" localSheetId="46">'28_Кан-ция'!P1_T1?L1.1.2.7.1,'28_Кан-ция'!P2_T1?L1.1.2.7.1,'28_Кан-ция'!P3_T1?L1.1.2.7.1</definedName>
    <definedName name="T1?L1.1.2.7.1" localSheetId="47">P1_T1?L1.1.2.7.1,P2_T1?L1.1.2.7.1,P3_T1?L1.1.2.7.1</definedName>
    <definedName name="T1?L1.1.2.7.1" localSheetId="7">'5-2_ЦГ'!P1_T1?L1.1.2.7.1,'5-2_ЦГ'!P2_T1?L1.1.2.7.1,'5-2_ЦГ'!P3_T1?L1.1.2.7.1</definedName>
    <definedName name="T1?L1.1.2.7.1">P1_T1?L1.1.2.7.1,P2_T1?L1.1.2.7.1,P3_T1?L1.1.2.7.1</definedName>
    <definedName name="T1?L2" localSheetId="15">#REF!</definedName>
    <definedName name="T1?L2" localSheetId="21">#REF!</definedName>
    <definedName name="T1?L2" localSheetId="46">#REF!</definedName>
    <definedName name="T1?L2" localSheetId="47">#REF!</definedName>
    <definedName name="T1?L2" localSheetId="7">#REF!</definedName>
    <definedName name="T1?L2">#REF!</definedName>
    <definedName name="T1?L3" localSheetId="15">#REF!</definedName>
    <definedName name="T1?L3" localSheetId="21">#REF!</definedName>
    <definedName name="T1?L3" localSheetId="46">#REF!</definedName>
    <definedName name="T1?L3" localSheetId="7">#REF!</definedName>
    <definedName name="T1?L3">#REF!</definedName>
    <definedName name="T1?L4" localSheetId="15">#REF!</definedName>
    <definedName name="T1?L4" localSheetId="21">#REF!</definedName>
    <definedName name="T1?L4" localSheetId="46">#REF!</definedName>
    <definedName name="T1?L4" localSheetId="7">#REF!</definedName>
    <definedName name="T1?L4">#REF!</definedName>
    <definedName name="T1?L5" localSheetId="15">#REF!</definedName>
    <definedName name="T1?L5" localSheetId="21">#REF!</definedName>
    <definedName name="T1?L5" localSheetId="46">#REF!</definedName>
    <definedName name="T1?L5" localSheetId="7">#REF!</definedName>
    <definedName name="T1?L5">#REF!</definedName>
    <definedName name="T1?L6" localSheetId="15">#REF!</definedName>
    <definedName name="T1?L6" localSheetId="21">#REF!</definedName>
    <definedName name="T1?L6" localSheetId="46">#REF!</definedName>
    <definedName name="T1?L6" localSheetId="7">#REF!</definedName>
    <definedName name="T1?L6">#REF!</definedName>
    <definedName name="T1?L7" localSheetId="15">#REF!</definedName>
    <definedName name="T1?L7" localSheetId="21">#REF!</definedName>
    <definedName name="T1?L7" localSheetId="46">#REF!</definedName>
    <definedName name="T1?L7" localSheetId="7">#REF!</definedName>
    <definedName name="T1?L7">#REF!</definedName>
    <definedName name="T1?L7.1" localSheetId="15">#REF!</definedName>
    <definedName name="T1?L7.1" localSheetId="21">#REF!</definedName>
    <definedName name="T1?L7.1" localSheetId="46">#REF!</definedName>
    <definedName name="T1?L7.1" localSheetId="7">#REF!</definedName>
    <definedName name="T1?L7.1">#REF!</definedName>
    <definedName name="T1?L7.2" localSheetId="15">#REF!</definedName>
    <definedName name="T1?L7.2" localSheetId="21">#REF!</definedName>
    <definedName name="T1?L7.2" localSheetId="46">#REF!</definedName>
    <definedName name="T1?L7.2" localSheetId="7">#REF!</definedName>
    <definedName name="T1?L7.2">#REF!</definedName>
    <definedName name="T1?L7.3" localSheetId="15">#REF!</definedName>
    <definedName name="T1?L7.3" localSheetId="21">#REF!</definedName>
    <definedName name="T1?L7.3" localSheetId="46">#REF!</definedName>
    <definedName name="T1?L7.3" localSheetId="7">#REF!</definedName>
    <definedName name="T1?L7.3">#REF!</definedName>
    <definedName name="T1?L7.4" localSheetId="15">#REF!</definedName>
    <definedName name="T1?L7.4" localSheetId="21">#REF!</definedName>
    <definedName name="T1?L7.4" localSheetId="46">#REF!</definedName>
    <definedName name="T1?L7.4" localSheetId="7">#REF!</definedName>
    <definedName name="T1?L7.4">#REF!</definedName>
    <definedName name="T1?L8" localSheetId="15">#REF!</definedName>
    <definedName name="T1?L8" localSheetId="21">#REF!</definedName>
    <definedName name="T1?L8" localSheetId="46">#REF!</definedName>
    <definedName name="T1?L8" localSheetId="7">#REF!</definedName>
    <definedName name="T1?L8">#REF!</definedName>
    <definedName name="T1?L8.1" localSheetId="15">#REF!</definedName>
    <definedName name="T1?L8.1" localSheetId="21">#REF!</definedName>
    <definedName name="T1?L8.1" localSheetId="46">#REF!</definedName>
    <definedName name="T1?L8.1" localSheetId="7">#REF!</definedName>
    <definedName name="T1?L8.1">#REF!</definedName>
    <definedName name="T1?L8.2" localSheetId="15">#REF!</definedName>
    <definedName name="T1?L8.2" localSheetId="21">#REF!</definedName>
    <definedName name="T1?L8.2" localSheetId="46">#REF!</definedName>
    <definedName name="T1?L8.2" localSheetId="7">#REF!</definedName>
    <definedName name="T1?L8.2">#REF!</definedName>
    <definedName name="T1?L8.3" localSheetId="15">#REF!</definedName>
    <definedName name="T1?L8.3" localSheetId="21">#REF!</definedName>
    <definedName name="T1?L8.3" localSheetId="46">#REF!</definedName>
    <definedName name="T1?L8.3" localSheetId="7">#REF!</definedName>
    <definedName name="T1?L8.3">#REF!</definedName>
    <definedName name="T1?L9" localSheetId="15">#REF!</definedName>
    <definedName name="T1?L9" localSheetId="21">#REF!</definedName>
    <definedName name="T1?L9" localSheetId="46">#REF!</definedName>
    <definedName name="T1?L9" localSheetId="7">#REF!</definedName>
    <definedName name="T1?L9">#REF!</definedName>
    <definedName name="T1?M1" localSheetId="15">#REF!,#REF!,#REF!,#REF!,#REF!,#REF!,#REF!,#REF!,#REF!,'10-1_К-ция_ПП'!P1_T1?M1,'10-1_К-ция_ПП'!P2_T1?M1,'10-1_К-ция_ПП'!P3_T1?M1</definedName>
    <definedName name="T1?M1" localSheetId="21">#REF!,#REF!,#REF!,#REF!,#REF!,#REF!,#REF!,#REF!,#REF!,'15_Пер. Расх_дин'!P1_T1?M1,'15_Пер. Расх_дин'!P2_T1?M1,'15_Пер. Расх_дин'!P3_T1?M1</definedName>
    <definedName name="T1?M1" localSheetId="46">#REF!,#REF!,#REF!,#REF!,#REF!,#REF!,#REF!,#REF!,#REF!,'28_Кан-ция'!P1_T1?M1,'28_Кан-ция'!P2_T1?M1,'28_Кан-ция'!P3_T1?M1</definedName>
    <definedName name="T1?M1" localSheetId="47">#REF!,#REF!,#REF!,#REF!,#REF!,#REF!,#REF!,#REF!,#REF!,P1_T1?M1,P2_T1?M1,P3_T1?M1</definedName>
    <definedName name="T1?M1" localSheetId="7">#REF!,#REF!,#REF!,#REF!,#REF!,#REF!,#REF!,#REF!,#REF!,'5-2_ЦГ'!P1_T1?M1,'5-2_ЦГ'!P2_T1?M1,'5-2_ЦГ'!P3_T1?M1</definedName>
    <definedName name="T1?M1">#REF!,#REF!,#REF!,#REF!,#REF!,#REF!,#REF!,#REF!,#REF!,P1_T1?M1,P2_T1?M1,P3_T1?M1</definedName>
    <definedName name="T1?M2" localSheetId="15">#REF!,#REF!,#REF!,#REF!,#REF!,#REF!,#REF!,#REF!,#REF!,'10-1_К-ция_ПП'!P1_T1?M2,'10-1_К-ция_ПП'!P2_T1?M2,'10-1_К-ция_ПП'!P3_T1?M2</definedName>
    <definedName name="T1?M2" localSheetId="21">#REF!,#REF!,#REF!,#REF!,#REF!,#REF!,#REF!,#REF!,#REF!,'15_Пер. Расх_дин'!P1_T1?M2,'15_Пер. Расх_дин'!P2_T1?M2,'15_Пер. Расх_дин'!P3_T1?M2</definedName>
    <definedName name="T1?M2" localSheetId="46">#REF!,#REF!,#REF!,#REF!,#REF!,#REF!,#REF!,#REF!,#REF!,'28_Кан-ция'!P1_T1?M2,'28_Кан-ция'!P2_T1?M2,'28_Кан-ция'!P3_T1?M2</definedName>
    <definedName name="T1?M2" localSheetId="47">#REF!,#REF!,#REF!,#REF!,#REF!,#REF!,#REF!,#REF!,#REF!,P1_T1?M2,P2_T1?M2,P3_T1?M2</definedName>
    <definedName name="T1?M2" localSheetId="7">#REF!,#REF!,#REF!,#REF!,#REF!,#REF!,#REF!,#REF!,#REF!,'5-2_ЦГ'!P1_T1?M2,'5-2_ЦГ'!P2_T1?M2,'5-2_ЦГ'!P3_T1?M2</definedName>
    <definedName name="T1?M2">#REF!,#REF!,#REF!,#REF!,#REF!,#REF!,#REF!,#REF!,#REF!,P1_T1?M2,P2_T1?M2,P3_T1?M2</definedName>
    <definedName name="T1?Name" localSheetId="15">#REF!</definedName>
    <definedName name="T1?Name" localSheetId="21">#REF!</definedName>
    <definedName name="T1?Name" localSheetId="46">#REF!</definedName>
    <definedName name="T1?Name" localSheetId="47">#REF!</definedName>
    <definedName name="T1?Name" localSheetId="7">#REF!</definedName>
    <definedName name="T1?Name">#REF!</definedName>
    <definedName name="T1?Table" localSheetId="15">#REF!</definedName>
    <definedName name="T1?Table" localSheetId="21">#REF!</definedName>
    <definedName name="T1?Table" localSheetId="46">#REF!</definedName>
    <definedName name="T1?Table" localSheetId="7">#REF!</definedName>
    <definedName name="T1?Table">#REF!</definedName>
    <definedName name="T1?Title" localSheetId="15">#REF!</definedName>
    <definedName name="T1?Title" localSheetId="21">#REF!</definedName>
    <definedName name="T1?Title" localSheetId="46">#REF!</definedName>
    <definedName name="T1?Title" localSheetId="7">#REF!</definedName>
    <definedName name="T1?Title">#REF!</definedName>
    <definedName name="T1?unit?ГКАЛ" localSheetId="15">'10-1_К-ция_ПП'!P1_T1?unit?ГКАЛ,'10-1_К-ция_ПП'!P2_T1?unit?ГКАЛ,'10-1_К-ция_ПП'!P3_T1?unit?ГКАЛ,'10-1_К-ция_ПП'!P4_T1?unit?ГКАЛ,'10-1_К-ция_ПП'!P5_T1?unit?ГКАЛ,'10-1_К-ция_ПП'!P6_T1?unit?ГКАЛ</definedName>
    <definedName name="T1?unit?ГКАЛ" localSheetId="21">'15_Пер. Расх_дин'!P1_T1?unit?ГКАЛ,'15_Пер. Расх_дин'!P2_T1?unit?ГКАЛ,'15_Пер. Расх_дин'!P3_T1?unit?ГКАЛ,'15_Пер. Расх_дин'!P4_T1?unit?ГКАЛ,'15_Пер. Расх_дин'!P5_T1?unit?ГКАЛ,'15_Пер. Расх_дин'!P6_T1?unit?ГКАЛ</definedName>
    <definedName name="T1?unit?ГКАЛ" localSheetId="46">'28_Кан-ция'!P1_T1?unit?ГКАЛ,'28_Кан-ция'!P2_T1?unit?ГКАЛ,'28_Кан-ция'!P3_T1?unit?ГКАЛ,'28_Кан-ция'!P4_T1?unit?ГКАЛ,'28_Кан-ция'!P5_T1?unit?ГКАЛ,'28_Кан-ция'!P6_T1?unit?ГКАЛ</definedName>
    <definedName name="T1?unit?ГКАЛ" localSheetId="47">P1_T1?unit?ГКАЛ,P2_T1?unit?ГКАЛ,P3_T1?unit?ГКАЛ,P4_T1?unit?ГКАЛ,P5_T1?unit?ГКАЛ,P6_T1?unit?ГКАЛ</definedName>
    <definedName name="T1?unit?ГКАЛ" localSheetId="7">'5-2_ЦГ'!P1_T1?unit?ГКАЛ,'5-2_ЦГ'!P2_T1?unit?ГКАЛ,'5-2_ЦГ'!P3_T1?unit?ГКАЛ,'5-2_ЦГ'!P4_T1?unit?ГКАЛ,'5-2_ЦГ'!P5_T1?unit?ГКАЛ,'5-2_ЦГ'!P6_T1?unit?ГКАЛ</definedName>
    <definedName name="T1?unit?ГКАЛ">P1_T1?unit?ГКАЛ,P2_T1?unit?ГКАЛ,P3_T1?unit?ГКАЛ,P4_T1?unit?ГКАЛ,P5_T1?unit?ГКАЛ,P6_T1?unit?ГКАЛ</definedName>
    <definedName name="T1?unit?МВТ" localSheetId="15">#REF!</definedName>
    <definedName name="T1?unit?МВТ" localSheetId="21">#REF!</definedName>
    <definedName name="T1?unit?МВТ" localSheetId="46">#REF!</definedName>
    <definedName name="T1?unit?МВТ" localSheetId="47">#REF!</definedName>
    <definedName name="T1?unit?МВТ" localSheetId="7">#REF!</definedName>
    <definedName name="T1?unit?МВТ">#REF!</definedName>
    <definedName name="T1?unit?ПРЦ" localSheetId="15">#REF!</definedName>
    <definedName name="T1?unit?ПРЦ" localSheetId="21">#REF!</definedName>
    <definedName name="T1?unit?ПРЦ" localSheetId="46">#REF!</definedName>
    <definedName name="T1?unit?ПРЦ" localSheetId="7">#REF!</definedName>
    <definedName name="T1?unit?ПРЦ">#REF!</definedName>
    <definedName name="T1?unit?РУБ.ГКАЛ" localSheetId="15">'10-1_К-ция_ПП'!P1_T1?unit?РУБ.ГКАЛ,'10-1_К-ция_ПП'!P2_T1?unit?РУБ.ГКАЛ,'10-1_К-ция_ПП'!P3_T1?unit?РУБ.ГКАЛ,'10-1_К-ция_ПП'!P4_T1?unit?РУБ.ГКАЛ,'10-1_К-ция_ПП'!P5_T1?unit?РУБ.ГКАЛ,'10-1_К-ция_ПП'!P6_T1?unit?РУБ.ГКАЛ</definedName>
    <definedName name="T1?unit?РУБ.ГКАЛ" localSheetId="21">'15_Пер. Расх_дин'!P1_T1?unit?РУБ.ГКАЛ,'15_Пер. Расх_дин'!P2_T1?unit?РУБ.ГКАЛ,'15_Пер. Расх_дин'!P3_T1?unit?РУБ.ГКАЛ,'15_Пер. Расх_дин'!P4_T1?unit?РУБ.ГКАЛ,'15_Пер. Расх_дин'!P5_T1?unit?РУБ.ГКАЛ,'15_Пер. Расх_дин'!P6_T1?unit?РУБ.ГКАЛ</definedName>
    <definedName name="T1?unit?РУБ.ГКАЛ" localSheetId="46">'28_Кан-ция'!P1_T1?unit?РУБ.ГКАЛ,'28_Кан-ция'!P2_T1?unit?РУБ.ГКАЛ,'28_Кан-ция'!P3_T1?unit?РУБ.ГКАЛ,'28_Кан-ция'!P4_T1?unit?РУБ.ГКАЛ,'28_Кан-ция'!P5_T1?unit?РУБ.ГКАЛ,'28_Кан-ция'!P6_T1?unit?РУБ.ГКАЛ</definedName>
    <definedName name="T1?unit?РУБ.ГКАЛ" localSheetId="47">P1_T1?unit?РУБ.ГКАЛ,P2_T1?unit?РУБ.ГКАЛ,P3_T1?unit?РУБ.ГКАЛ,P4_T1?unit?РУБ.ГКАЛ,P5_T1?unit?РУБ.ГКАЛ,P6_T1?unit?РУБ.ГКАЛ</definedName>
    <definedName name="T1?unit?РУБ.ГКАЛ" localSheetId="7">'5-2_ЦГ'!P1_T1?unit?РУБ.ГКАЛ,'5-2_ЦГ'!P2_T1?unit?РУБ.ГКАЛ,'5-2_ЦГ'!P3_T1?unit?РУБ.ГКАЛ,'5-2_ЦГ'!P4_T1?unit?РУБ.ГКАЛ,'5-2_ЦГ'!P5_T1?unit?РУБ.ГКАЛ,'5-2_ЦГ'!P6_T1?unit?РУБ.ГКАЛ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15">'10-1_К-ция_ПП'!P4_T1?unit?РУБ.ТОНН,'10-1_К-ция_ПП'!P5_T1?unit?РУБ.ТОНН</definedName>
    <definedName name="T1?unit?РУБ.ТОНН" localSheetId="21">'15_Пер. Расх_дин'!P4_T1?unit?РУБ.ТОНН,'15_Пер. Расх_дин'!P5_T1?unit?РУБ.ТОНН</definedName>
    <definedName name="T1?unit?РУБ.ТОНН" localSheetId="46">'28_Кан-ция'!P4_T1?unit?РУБ.ТОНН,'28_Кан-ция'!P5_T1?unit?РУБ.ТОНН</definedName>
    <definedName name="T1?unit?РУБ.ТОНН" localSheetId="47">P4_T1?unit?РУБ.ТОНН,'28-1_Ливневка'!P5_T1?unit?РУБ.ТОНН</definedName>
    <definedName name="T1?unit?РУБ.ТОНН" localSheetId="7">'5-2_ЦГ'!P4_T1?unit?РУБ.ТОНН,'5-2_ЦГ'!P5_T1?unit?РУБ.ТОНН</definedName>
    <definedName name="T1?unit?РУБ.ТОНН">P4_T1?unit?РУБ.ТОНН,P5_T1?unit?РУБ.ТОНН</definedName>
    <definedName name="T1?unit?СТР" localSheetId="15">'10-1_К-ция_ПП'!P2_T1?unit?СТР,'10-1_К-ция_ПП'!P3_T1?unit?СТР,'10-1_К-ция_ПП'!P4_T1?unit?СТР,'10-1_К-ция_ПП'!P5_T1?unit?СТР,'10-1_К-ция_ПП'!P6_T1?unit?СТР</definedName>
    <definedName name="T1?unit?СТР" localSheetId="21">'15_Пер. Расх_дин'!P2_T1?unit?СТР,'15_Пер. Расх_дин'!P3_T1?unit?СТР,'15_Пер. Расх_дин'!P4_T1?unit?СТР,'15_Пер. Расх_дин'!P5_T1?unit?СТР,'15_Пер. Расх_дин'!P6_T1?unit?СТР</definedName>
    <definedName name="T1?unit?СТР" localSheetId="46">'28_Кан-ция'!P2_T1?unit?СТР,'28_Кан-ция'!P3_T1?unit?СТР,'28_Кан-ция'!P4_T1?unit?СТР,'28_Кан-ция'!P5_T1?unit?СТР,'28_Кан-ция'!P6_T1?unit?СТР</definedName>
    <definedName name="T1?unit?СТР" localSheetId="47">P2_T1?unit?СТР,P3_T1?unit?СТР,P4_T1?unit?СТР,P5_T1?unit?СТР,'28-1_Ливневка'!P6_T1?unit?СТР</definedName>
    <definedName name="T1?unit?СТР" localSheetId="7">'5-2_ЦГ'!P2_T1?unit?СТР,'5-2_ЦГ'!P3_T1?unit?СТР,'5-2_ЦГ'!P4_T1?unit?СТР,'5-2_ЦГ'!P5_T1?unit?СТР,'5-2_ЦГ'!P6_T1?unit?СТР</definedName>
    <definedName name="T1?unit?СТР">P2_T1?unit?СТР,P3_T1?unit?СТР,P4_T1?unit?СТР,P5_T1?unit?СТР,P6_T1?unit?СТР</definedName>
    <definedName name="T1?unit?ТОНН" localSheetId="15">#REF!,#REF!,#REF!,#REF!,#REF!,#REF!,'10-1_К-ция_ПП'!P1_T1?unit?ТОНН,'10-1_К-ция_ПП'!P2_T1?unit?ТОНН,'10-1_К-ция_ПП'!P3_T1?unit?ТОНН,'10-1_К-ция_ПП'!P4_T1?unit?ТОНН</definedName>
    <definedName name="T1?unit?ТОНН" localSheetId="21">#REF!,#REF!,#REF!,#REF!,#REF!,#REF!,'15_Пер. Расх_дин'!P1_T1?unit?ТОНН,'15_Пер. Расх_дин'!P2_T1?unit?ТОНН,'15_Пер. Расх_дин'!P3_T1?unit?ТОНН,'15_Пер. Расх_дин'!P4_T1?unit?ТОНН</definedName>
    <definedName name="T1?unit?ТОНН" localSheetId="46">#REF!,#REF!,#REF!,#REF!,#REF!,#REF!,'28_Кан-ция'!P1_T1?unit?ТОНН,'28_Кан-ция'!P2_T1?unit?ТОНН,'28_Кан-ция'!P3_T1?unit?ТОНН,'28_Кан-ция'!P4_T1?unit?ТОНН</definedName>
    <definedName name="T1?unit?ТОНН" localSheetId="47">#REF!,#REF!,#REF!,#REF!,#REF!,#REF!,P1_T1?unit?ТОНН,P2_T1?unit?ТОНН,P3_T1?unit?ТОНН,P4_T1?unit?ТОНН</definedName>
    <definedName name="T1?unit?ТОНН" localSheetId="7">#REF!,#REF!,#REF!,#REF!,#REF!,#REF!,'5-2_ЦГ'!P1_T1?unit?ТОНН,'5-2_ЦГ'!P2_T1?unit?ТОНН,'5-2_ЦГ'!P3_T1?unit?ТОНН,'5-2_ЦГ'!P4_T1?unit?ТОНН</definedName>
    <definedName name="T1?unit?ТОНН">#REF!,#REF!,#REF!,#REF!,#REF!,#REF!,P1_T1?unit?ТОНН,P2_T1?unit?ТОНН,P3_T1?unit?ТОНН,P4_T1?unit?ТОНН</definedName>
    <definedName name="T1?unit?ТРУБ" localSheetId="15">'10-1_К-ция_ПП'!P11_T1?unit?ТРУБ,'10-1_К-ция_ПП'!P12_T1?unit?ТРУБ,'10-1_К-ция_ПП'!P13_T1?unit?ТРУБ</definedName>
    <definedName name="T1?unit?ТРУБ" localSheetId="21">'15_Пер. Расх_дин'!P11_T1?unit?ТРУБ,'15_Пер. Расх_дин'!P12_T1?unit?ТРУБ,'15_Пер. Расх_дин'!P13_T1?unit?ТРУБ</definedName>
    <definedName name="T1?unit?ТРУБ" localSheetId="46">'28_Кан-ция'!P11_T1?unit?ТРУБ,'28_Кан-ция'!P12_T1?unit?ТРУБ,'28_Кан-ция'!P13_T1?unit?ТРУБ</definedName>
    <definedName name="T1?unit?ТРУБ" localSheetId="47">P11_T1?unit?ТРУБ,'28-1_Ливневка'!P12_T1?unit?ТРУБ,'28-1_Ливневка'!P13_T1?unit?ТРУБ</definedName>
    <definedName name="T1?unit?ТРУБ" localSheetId="7">'5-2_ЦГ'!P11_T1?unit?ТРУБ,'5-2_ЦГ'!P12_T1?unit?ТРУБ,'5-2_ЦГ'!P13_T1?unit?ТРУБ</definedName>
    <definedName name="T1?unit?ТРУБ">P11_T1?unit?ТРУБ,P12_T1?unit?ТРУБ,P13_T1?unit?ТРУБ</definedName>
    <definedName name="T1.1?axis?R?ПЭ">'[27]1.1'!$D$19:$E$21,'[27]1.1'!$D$9:$E$15</definedName>
    <definedName name="T1.1?axis?R?ПЭ?">'[27]1.1'!$B$19:$B$21,'[27]1.1'!$B$9:$B$15</definedName>
    <definedName name="T1.1?Data">'[27]1.1'!$D$9:$E$15,'[27]1.1'!$D$17:$E$17,'[27]1.1'!$D$19:$E$21,'[27]1.1'!$D$23:$E$30,'[27]1.1'!$D$6:$E$7</definedName>
    <definedName name="T1.2?Data">'[27]1.2'!$D$8:$E$10,'[27]1.2'!$D$12:$E$17,'[27]1.2'!$D$19:$E$22,'[27]1.2'!$D$6:$E$6</definedName>
    <definedName name="T10_Copy1" localSheetId="15">#REF!</definedName>
    <definedName name="T10_Copy1" localSheetId="21">#REF!</definedName>
    <definedName name="T10_Copy1" localSheetId="46">#REF!</definedName>
    <definedName name="T10_Copy1" localSheetId="47">#REF!</definedName>
    <definedName name="T10_Copy1" localSheetId="7">#REF!</definedName>
    <definedName name="T10_Copy1">#REF!</definedName>
    <definedName name="T10_Copy2" localSheetId="15">#REF!</definedName>
    <definedName name="T10_Copy2" localSheetId="21">#REF!</definedName>
    <definedName name="T10_Copy2" localSheetId="46">#REF!</definedName>
    <definedName name="T10_Copy2" localSheetId="7">#REF!</definedName>
    <definedName name="T10_Copy2">#REF!</definedName>
    <definedName name="T10_Copy3" localSheetId="15">#REF!</definedName>
    <definedName name="T10_Copy3" localSheetId="21">#REF!</definedName>
    <definedName name="T10_Copy3" localSheetId="46">#REF!</definedName>
    <definedName name="T10_Copy3" localSheetId="7">#REF!</definedName>
    <definedName name="T10_Copy3">#REF!</definedName>
    <definedName name="T10_Copy4" localSheetId="15">#REF!</definedName>
    <definedName name="T10_Copy4" localSheetId="21">#REF!</definedName>
    <definedName name="T10_Copy4" localSheetId="46">#REF!</definedName>
    <definedName name="T10_Copy4" localSheetId="7">#REF!</definedName>
    <definedName name="T10_Copy4">#REF!</definedName>
    <definedName name="T10_Copy5">'[27]10'!$62:$62,'[27]10'!$58:$58,'[27]10'!$54:$54,'[27]10'!$50:$50,'[27]10'!$46:$46,'[27]10'!$42:$42,'[27]10'!$66:$66</definedName>
    <definedName name="T10_Name1">'[27]10'!$A$29,'[27]10'!$A$25,'[27]10'!$A$21,'[27]10'!$A$17,'[27]10'!$A$13,'[27]10'!$A$9,'[27]10'!$A$33:$A$34</definedName>
    <definedName name="T10_Name2">'[27]10'!$C$29:$C$31,'[27]10'!$C$25:$C$27,'[27]10'!$C$21:$C$23,'[27]10'!$C$17:$C$19,'[27]10'!$C$13:$C$15,'[27]10'!$C$9:$C$11,'[27]10'!$C$33</definedName>
    <definedName name="T10_Name4">'[27]10'!$A$62,'[27]10'!$A$58,'[27]10'!$A$54,'[27]10'!$A$50,'[27]10'!$A$46,'[27]10'!$A$42,'[27]10'!$A$66:$A$67</definedName>
    <definedName name="T10_Name5">'[27]10'!$C$62:$C$64,'[27]10'!$C$58:$C$60,'[27]10'!$C$54:$C$56,'[27]10'!$C$50:$C$52,'[27]10'!$C$46:$C$48,'[27]10'!$C$42:$C$44,'[27]10'!$C$66</definedName>
    <definedName name="T10?axis?ПРД?БАЗ">'[3]10'!$I$6:$J$31,'[3]10'!$F$6:$G$31</definedName>
    <definedName name="T10?axis?ПРД?ПРЕД">'[3]10'!$K$6:$L$31,'[3]10'!$D$6:$E$31</definedName>
    <definedName name="T10?axis?ПРД?РЕГ" localSheetId="15">#REF!</definedName>
    <definedName name="T10?axis?ПРД?РЕГ" localSheetId="21">#REF!</definedName>
    <definedName name="T10?axis?ПРД?РЕГ" localSheetId="46">#REF!</definedName>
    <definedName name="T10?axis?ПРД?РЕГ" localSheetId="47">#REF!</definedName>
    <definedName name="T10?axis?ПРД?РЕГ" localSheetId="7">#REF!</definedName>
    <definedName name="T10?axis?ПРД?РЕГ">#REF!</definedName>
    <definedName name="T10?axis?ПФ?ПЛАН">'[3]10'!$I$6:$I$31,'[3]10'!$D$6:$D$31,'[3]10'!$K$6:$K$31,'[3]10'!$F$6:$F$31</definedName>
    <definedName name="T10?axis?ПФ?ФАКТ">'[3]10'!$J$6:$J$31,'[3]10'!$E$6:$E$31,'[3]10'!$L$6:$L$31,'[3]10'!$G$6:$G$31</definedName>
    <definedName name="T10?axis?R?ДОГОВОР">'[3]10'!$D$9:$L$11, '[3]10'!$D$15:$L$17, '[3]10'!$D$21:$L$23, '[3]10'!$D$27:$L$29</definedName>
    <definedName name="T10?axis?R?ДОГОВОР?">'[3]10'!$B$9:$B$11, '[3]10'!$B$15:$B$17, '[3]10'!$B$21:$B$23, '[3]10'!$B$27:$B$29</definedName>
    <definedName name="T10?Data">'[3]10'!$D$6:$L$7, '[3]10'!$D$9:$L$11, '[3]10'!$D$13:$L$13, '[3]10'!$D$15:$L$17, '[3]10'!$D$19:$L$19, '[3]10'!$D$21:$L$23, '[3]10'!$D$25:$L$25, '[3]10'!$D$27:$L$29, '[3]10'!$D$31:$L$31</definedName>
    <definedName name="T10?item_ext?РОСТ" localSheetId="15">#REF!</definedName>
    <definedName name="T10?item_ext?РОСТ" localSheetId="21">#REF!</definedName>
    <definedName name="T10?item_ext?РОСТ" localSheetId="46">#REF!</definedName>
    <definedName name="T10?item_ext?РОСТ" localSheetId="47">#REF!</definedName>
    <definedName name="T10?item_ext?РОСТ" localSheetId="7">#REF!</definedName>
    <definedName name="T10?item_ext?РОСТ">#REF!</definedName>
    <definedName name="T10?L1" localSheetId="15">#REF!</definedName>
    <definedName name="T10?L1" localSheetId="21">#REF!</definedName>
    <definedName name="T10?L1" localSheetId="46">#REF!</definedName>
    <definedName name="T10?L1" localSheetId="7">#REF!</definedName>
    <definedName name="T10?L1">#REF!</definedName>
    <definedName name="T10?L1.1" localSheetId="15">#REF!</definedName>
    <definedName name="T10?L1.1" localSheetId="21">#REF!</definedName>
    <definedName name="T10?L1.1" localSheetId="46">#REF!</definedName>
    <definedName name="T10?L1.1" localSheetId="7">#REF!</definedName>
    <definedName name="T10?L1.1">#REF!</definedName>
    <definedName name="T10?L1.1.x" localSheetId="15">#REF!</definedName>
    <definedName name="T10?L1.1.x" localSheetId="21">#REF!</definedName>
    <definedName name="T10?L1.1.x" localSheetId="46">#REF!</definedName>
    <definedName name="T10?L1.1.x" localSheetId="7">#REF!</definedName>
    <definedName name="T10?L1.1.x">#REF!</definedName>
    <definedName name="T10?L1.2" localSheetId="15">#REF!</definedName>
    <definedName name="T10?L1.2" localSheetId="21">#REF!</definedName>
    <definedName name="T10?L1.2" localSheetId="46">#REF!</definedName>
    <definedName name="T10?L1.2" localSheetId="7">#REF!</definedName>
    <definedName name="T10?L1.2">#REF!</definedName>
    <definedName name="T10?L1.2.x" localSheetId="15">#REF!</definedName>
    <definedName name="T10?L1.2.x" localSheetId="21">#REF!</definedName>
    <definedName name="T10?L1.2.x" localSheetId="46">#REF!</definedName>
    <definedName name="T10?L1.2.x" localSheetId="7">#REF!</definedName>
    <definedName name="T10?L1.2.x">#REF!</definedName>
    <definedName name="T10?L10">'[27]10'!$K$54:$K$56,'[27]10'!$K$58:$K$60,'[27]10'!$K$62:$K$64,'[27]10'!$K$21:$K$23,'[27]10'!$K$25:$K$27,'[27]10'!$K$29:$K$31,'[27]10'!$K$33,'[27]10'!$K$36:$K$39,'[27]10'!$K$42:$K$44,'[27]10'!$K$46:$K$48,'[27]10'!$K$17:$K$19,'[27]10'!$K$50:$K$52</definedName>
    <definedName name="T10?L11">'[27]10'!$L$54:$L$56,'[27]10'!$L$58:$L$60,'[27]10'!$L$62:$L$64,'[27]10'!$L$21:$L$23,'[27]10'!$L$25:$L$27,'[27]10'!$L$29:$L$31,'[27]10'!$L$33,'[27]10'!$L$36:$L$39,'[27]10'!$L$42:$L$44,'[27]10'!$L$46:$L$48,'[27]10'!$L$17:$L$19,'[27]10'!$L$50:$L$52</definedName>
    <definedName name="T10?L12">'[27]10'!$M$54:$M$56,'[27]10'!$M$58:$M$60,'[27]10'!$M$62:$M$64,'[27]10'!$M$21:$M$23,'[27]10'!$M$25:$M$27,'[27]10'!$M$29:$M$31,'[27]10'!$M$33,'[27]10'!$M$36:$M$39,'[27]10'!$M$42:$M$44,'[27]10'!$M$46:$M$48,'[27]10'!$M$17:$M$19,'[27]10'!$M$50:$M$52</definedName>
    <definedName name="T10?L13">'[27]10'!$N$54:$N$56,'[27]10'!$N$58:$N$60,'[27]10'!$N$62:$N$64,'[27]10'!$N$21:$N$23,'[27]10'!$N$25:$N$27,'[27]10'!$N$29:$N$31,'[27]10'!$N$33,'[27]10'!$N$36:$N$39,'[27]10'!$N$42:$N$44,'[27]10'!$N$46:$N$48,'[27]10'!$N$17:$N$19,'[27]10'!$N$50:$N$52</definedName>
    <definedName name="T10?L14">'[27]10'!$O$54:$O$56,'[27]10'!$O$58:$O$60,'[27]10'!$O$62:$O$64,'[27]10'!$O$21:$O$23,'[27]10'!$O$25:$O$27,'[27]10'!$O$29:$O$31,'[27]10'!$O$33,'[27]10'!$O$36:$O$39,'[27]10'!$O$42:$O$44,'[27]10'!$O$46:$O$48,'[27]10'!$O$17:$O$19,'[27]10'!$O$50:$O$52</definedName>
    <definedName name="T10?L15">'[27]10'!$P$54:$P$56,'[27]10'!$P$58:$P$60,'[27]10'!$P$62:$P$64,'[27]10'!$P$21:$P$23,'[27]10'!$P$25:$P$27,'[27]10'!$P$29:$P$31,'[27]10'!$P$33,'[27]10'!$P$36:$P$39,'[27]10'!$P$42:$P$44,'[27]10'!$P$46:$P$48,'[27]10'!$P$17:$P$19,'[27]10'!$P$50:$P$52</definedName>
    <definedName name="T10?L16">'[27]10'!$Q$54:$Q$56,'[27]10'!$Q$58:$Q$60,'[27]10'!$Q$62:$Q$64,'[27]10'!$Q$21:$Q$23,'[27]10'!$Q$25:$Q$27,'[27]10'!$Q$29:$Q$31,'[27]10'!$Q$33,'[27]10'!$Q$36:$Q$39,'[27]10'!$Q$42:$Q$44,'[27]10'!$Q$46:$Q$48,'[27]10'!$Q$17:$Q$19,'[27]10'!$Q$50:$Q$52</definedName>
    <definedName name="T10?L17">'[27]10'!$R$54:$R$56,'[27]10'!$R$58:$R$60,'[27]10'!$R$62:$R$64,'[27]10'!$R$21:$R$23,'[27]10'!$R$25:$R$27,'[27]10'!$R$29:$R$31,'[27]10'!$R$33,'[27]10'!$R$36:$R$39,'[27]10'!$R$42:$R$44,'[27]10'!$R$46:$R$48,'[27]10'!$R$17:$R$19,'[27]10'!$R$50:$R$52</definedName>
    <definedName name="T10?L18">'[27]10'!$S$54:$S$56,'[27]10'!$S$58:$S$60,'[27]10'!$S$62:$S$64,'[27]10'!$S$21:$S$23,'[27]10'!$S$25:$S$27,'[27]10'!$S$29:$S$31,'[27]10'!$S$33,'[27]10'!$S$36:$S$39,'[27]10'!$S$42:$S$44,'[27]10'!$S$46:$S$48,'[27]10'!$S$17:$S$19,'[27]10'!$S$50:$S$52</definedName>
    <definedName name="T10?L2" localSheetId="15">#REF!</definedName>
    <definedName name="T10?L2" localSheetId="21">#REF!</definedName>
    <definedName name="T10?L2" localSheetId="46">#REF!</definedName>
    <definedName name="T10?L2" localSheetId="47">#REF!</definedName>
    <definedName name="T10?L2" localSheetId="7">#REF!</definedName>
    <definedName name="T10?L2">#REF!</definedName>
    <definedName name="T10?L2.x" localSheetId="15">#REF!</definedName>
    <definedName name="T10?L2.x" localSheetId="21">#REF!</definedName>
    <definedName name="T10?L2.x" localSheetId="46">#REF!</definedName>
    <definedName name="T10?L2.x" localSheetId="7">#REF!</definedName>
    <definedName name="T10?L2.x">#REF!</definedName>
    <definedName name="T10?L3" localSheetId="15">#REF!</definedName>
    <definedName name="T10?L3" localSheetId="21">#REF!</definedName>
    <definedName name="T10?L3" localSheetId="46">#REF!</definedName>
    <definedName name="T10?L3" localSheetId="7">#REF!</definedName>
    <definedName name="T10?L3">#REF!</definedName>
    <definedName name="T10?L3.x" localSheetId="15">#REF!</definedName>
    <definedName name="T10?L3.x" localSheetId="21">#REF!</definedName>
    <definedName name="T10?L3.x" localSheetId="46">#REF!</definedName>
    <definedName name="T10?L3.x" localSheetId="7">#REF!</definedName>
    <definedName name="T10?L3.x">#REF!</definedName>
    <definedName name="T10?L4" localSheetId="15">#REF!</definedName>
    <definedName name="T10?L4" localSheetId="21">#REF!</definedName>
    <definedName name="T10?L4" localSheetId="46">#REF!</definedName>
    <definedName name="T10?L4" localSheetId="7">#REF!</definedName>
    <definedName name="T10?L4">#REF!</definedName>
    <definedName name="T10?L5">'[27]10'!$F$54:$F$56,'[27]10'!$F$58:$F$60,'[27]10'!$F$62:$F$64,'[27]10'!$F$21:$F$23,'[27]10'!$F$25:$F$27,'[27]10'!$F$29:$F$31,'[27]10'!$F$33,'[27]10'!$F$36:$F$39,'[27]10'!$F$42:$F$44,'[27]10'!$F$46:$F$48,'[27]10'!$F$17:$F$19,'[27]10'!$F$50:$F$52</definedName>
    <definedName name="T10?L6">'[27]10'!$G$54:$G$56,'[27]10'!$G$58:$G$60,'[27]10'!$G$62:$G$64,'[27]10'!$G$21:$G$23,'[27]10'!$G$25:$G$27,'[27]10'!$G$29:$G$31,'[27]10'!$G$33,'[27]10'!$G$36:$G$39,'[27]10'!$G$42:$G$44,'[27]10'!$G$46:$G$48,'[27]10'!$G$17:$G$19,'[27]10'!$G$50:$G$52</definedName>
    <definedName name="T10?L7">'[27]10'!$H$54:$H$56,'[27]10'!$H$58:$H$60,'[27]10'!$H$62:$H$64,'[27]10'!$H$21:$H$23,'[27]10'!$H$25:$H$27,'[27]10'!$H$29:$H$31,'[27]10'!$H$33,'[27]10'!$H$36:$H$39,'[27]10'!$H$42:$H$44,'[27]10'!$H$46:$H$48,'[27]10'!$H$17:$H$19,'[27]10'!$H$50:$H$52</definedName>
    <definedName name="T10?L8">'[27]10'!$I$54:$I$56,'[27]10'!$I$58:$I$60,'[27]10'!$I$62:$I$64,'[27]10'!$I$21:$I$23,'[27]10'!$I$25:$I$27,'[27]10'!$I$29:$I$31,'[27]10'!$I$33,'[27]10'!$I$36:$I$39,'[27]10'!$I$42:$I$44,'[27]10'!$I$46:$I$48,'[27]10'!$I$17:$I$19,'[27]10'!$I$50:$I$52</definedName>
    <definedName name="T10?L9">'[27]10'!$J$54:$J$56,'[27]10'!$J$58:$J$60,'[27]10'!$J$62:$J$64,'[27]10'!$J$21:$J$23,'[27]10'!$J$25:$J$27,'[27]10'!$J$29:$J$31,'[27]10'!$J$33,'[27]10'!$J$36:$J$39,'[27]10'!$J$42:$J$44,'[27]10'!$J$46:$J$48,'[27]10'!$J$17:$J$19,'[27]10'!$J$50:$J$52</definedName>
    <definedName name="T10?Name" localSheetId="15">#REF!</definedName>
    <definedName name="T10?Name" localSheetId="21">#REF!</definedName>
    <definedName name="T10?Name" localSheetId="46">#REF!</definedName>
    <definedName name="T10?Name" localSheetId="47">#REF!</definedName>
    <definedName name="T10?Name" localSheetId="7">#REF!</definedName>
    <definedName name="T10?Name">#REF!</definedName>
    <definedName name="T10?Table" localSheetId="15">#REF!</definedName>
    <definedName name="T10?Table" localSheetId="21">#REF!</definedName>
    <definedName name="T10?Table" localSheetId="46">#REF!</definedName>
    <definedName name="T10?Table" localSheetId="7">#REF!</definedName>
    <definedName name="T10?Table">#REF!</definedName>
    <definedName name="T10?Title" localSheetId="15">#REF!</definedName>
    <definedName name="T10?Title" localSheetId="21">#REF!</definedName>
    <definedName name="T10?Title" localSheetId="46">#REF!</definedName>
    <definedName name="T10?Title" localSheetId="7">#REF!</definedName>
    <definedName name="T10?Title">#REF!</definedName>
    <definedName name="T10?unit?ПРЦ" localSheetId="15">#REF!</definedName>
    <definedName name="T10?unit?ПРЦ" localSheetId="21">#REF!</definedName>
    <definedName name="T10?unit?ПРЦ" localSheetId="46">#REF!</definedName>
    <definedName name="T10?unit?ПРЦ" localSheetId="7">#REF!</definedName>
    <definedName name="T10?unit?ПРЦ">#REF!</definedName>
    <definedName name="T10?unit?РУБ.ТНТ">'[27]10'!$L$8:$L$73,'[27]10'!$O$8:$O$73,'[27]10'!$R$8:$R$73,'[27]10'!$E$8:$E$73,'[27]10'!$H$8:$H$73</definedName>
    <definedName name="T10?unit?ТРУБ" localSheetId="15">#REF!</definedName>
    <definedName name="T10?unit?ТРУБ" localSheetId="21">#REF!</definedName>
    <definedName name="T10?unit?ТРУБ" localSheetId="46">#REF!</definedName>
    <definedName name="T10?unit?ТРУБ" localSheetId="47">#REF!</definedName>
    <definedName name="T10?unit?ТРУБ" localSheetId="7">#REF!</definedName>
    <definedName name="T10?unit?ТРУБ">#REF!</definedName>
    <definedName name="T10?unit?ТТНТ">'[27]10'!$N$8:$N$73,'[27]10'!$Q$8:$Q$73,'[27]10'!$D$8:$D$73,'[27]10'!$G$8:$G$73</definedName>
    <definedName name="T11_Copy1" localSheetId="15">'[30]10'!#REF!</definedName>
    <definedName name="T11_Copy1" localSheetId="21">'[30]10'!#REF!</definedName>
    <definedName name="T11_Copy1" localSheetId="46">'[30]10'!#REF!</definedName>
    <definedName name="T11_Copy1" localSheetId="47">'[30]10'!#REF!</definedName>
    <definedName name="T11_Copy1" localSheetId="7">'[30]10'!#REF!</definedName>
    <definedName name="T11_Copy1">'[30]10'!#REF!</definedName>
    <definedName name="T11_Copy2" localSheetId="15">'[30]10'!#REF!</definedName>
    <definedName name="T11_Copy2" localSheetId="21">'[30]10'!#REF!</definedName>
    <definedName name="T11_Copy2" localSheetId="46">'[30]10'!#REF!</definedName>
    <definedName name="T11_Copy2" localSheetId="7">'[30]10'!#REF!</definedName>
    <definedName name="T11_Copy2">'[30]10'!#REF!</definedName>
    <definedName name="T11_Copy3" localSheetId="15">'[30]10'!#REF!</definedName>
    <definedName name="T11_Copy3" localSheetId="21">'[30]10'!#REF!</definedName>
    <definedName name="T11_Copy3" localSheetId="46">'[30]10'!#REF!</definedName>
    <definedName name="T11_Copy3" localSheetId="7">'[30]10'!#REF!</definedName>
    <definedName name="T11_Copy3">'[30]10'!#REF!</definedName>
    <definedName name="T11_Copy4" localSheetId="15">'[30]10'!#REF!</definedName>
    <definedName name="T11_Copy4" localSheetId="21">'[30]10'!#REF!</definedName>
    <definedName name="T11_Copy4" localSheetId="46">'[30]10'!#REF!</definedName>
    <definedName name="T11_Copy4" localSheetId="7">'[30]10'!#REF!</definedName>
    <definedName name="T11_Copy4">'[30]10'!#REF!</definedName>
    <definedName name="T11_Copy5" localSheetId="15">'[30]10'!#REF!</definedName>
    <definedName name="T11_Copy5" localSheetId="21">'[30]10'!#REF!</definedName>
    <definedName name="T11_Copy5" localSheetId="46">'[30]10'!#REF!</definedName>
    <definedName name="T11_Copy5" localSheetId="7">'[30]10'!#REF!</definedName>
    <definedName name="T11_Copy5">'[30]10'!#REF!</definedName>
    <definedName name="T11_Copy6" localSheetId="15">'[30]10'!#REF!</definedName>
    <definedName name="T11_Copy6" localSheetId="21">'[30]10'!#REF!</definedName>
    <definedName name="T11_Copy6" localSheetId="46">'[30]10'!#REF!</definedName>
    <definedName name="T11_Copy6" localSheetId="7">'[30]10'!#REF!</definedName>
    <definedName name="T11_Copy6">'[30]10'!#REF!</definedName>
    <definedName name="T11_Copy7.1" localSheetId="15">'[30]10'!#REF!</definedName>
    <definedName name="T11_Copy7.1" localSheetId="21">'[30]10'!#REF!</definedName>
    <definedName name="T11_Copy7.1" localSheetId="46">'[30]10'!#REF!</definedName>
    <definedName name="T11_Copy7.1" localSheetId="7">'[30]10'!#REF!</definedName>
    <definedName name="T11_Copy7.1">'[30]10'!#REF!</definedName>
    <definedName name="T11_Copy7.2" localSheetId="15">'[30]10'!#REF!</definedName>
    <definedName name="T11_Copy7.2" localSheetId="21">'[30]10'!#REF!</definedName>
    <definedName name="T11_Copy7.2" localSheetId="46">'[30]10'!#REF!</definedName>
    <definedName name="T11_Copy7.2" localSheetId="7">'[30]10'!#REF!</definedName>
    <definedName name="T11_Copy7.2">'[30]10'!#REF!</definedName>
    <definedName name="T11_Copy8" localSheetId="15">'[30]10'!#REF!</definedName>
    <definedName name="T11_Copy8" localSheetId="21">'[30]10'!#REF!</definedName>
    <definedName name="T11_Copy8" localSheetId="46">'[30]10'!#REF!</definedName>
    <definedName name="T11_Copy8" localSheetId="7">'[30]10'!#REF!</definedName>
    <definedName name="T11_Copy8">'[30]10'!#REF!</definedName>
    <definedName name="T11_Copy9" localSheetId="15">'[30]10'!#REF!</definedName>
    <definedName name="T11_Copy9" localSheetId="21">'[30]10'!#REF!</definedName>
    <definedName name="T11_Copy9" localSheetId="46">'[30]10'!#REF!</definedName>
    <definedName name="T11_Copy9" localSheetId="7">'[30]10'!#REF!</definedName>
    <definedName name="T11_Copy9">'[30]10'!#REF!</definedName>
    <definedName name="T11_Name1">'[27]11'!$A$29,'[27]11'!$A$25,'[27]11'!$A$21,'[27]11'!$A$17,'[27]11'!$A$13,'[27]11'!$A$9,'[27]11'!$A$33</definedName>
    <definedName name="T11_Name2">'[27]11'!$D$29:$D$31,'[27]11'!$D$25:$D$27,'[27]11'!$D$21:$D$23,'[27]11'!$D$17:$D$19,'[27]11'!$D$13:$D$15,'[27]11'!$D$9:$D$11,'[27]11'!$D$33</definedName>
    <definedName name="T11_Name4">'[27]11'!$A$68,'[27]11'!$A$64,'[27]11'!$A$60,'[27]11'!$A$56,'[27]11'!$A$52,'[27]11'!$A$48,'[27]11'!$A$72</definedName>
    <definedName name="T11_Name5">'[27]11'!$D$68:$D$70,'[27]11'!$D$64:$D$66,'[27]11'!$D$60:$D$62,'[27]11'!$D$56:$D$58,'[27]11'!$D$52:$D$54,'[27]11'!$D$48:$D$50,'[27]11'!$D$72</definedName>
    <definedName name="T11?axis?ПРД?БАЗ">'[3]11'!$I$6:$J$84,'[3]11'!$F$6:$G$84</definedName>
    <definedName name="T11?axis?ПРД?ПРЕД">'[3]11'!$K$6:$L$84,'[3]11'!$D$6:$E$84</definedName>
    <definedName name="T11?axis?ПФ?ПЛАН">'[3]11'!$I$6:$I$84,'[3]11'!$D$6:$D$84,'[3]11'!$K$6:$K$84,'[3]11'!$F$6:$F$84</definedName>
    <definedName name="T11?axis?ПФ?ФАКТ">'[3]11'!$J$6:$J$84,'[3]11'!$E$6:$E$84,'[3]11'!$L$6:$L$84,'[3]11'!$G$6:$G$84</definedName>
    <definedName name="T11?axis?R?ВТОП">'[27]11'!$F$8:$Q$40,'[27]11'!$F$47:$Q$79</definedName>
    <definedName name="T11?axis?R?ВТОП?">'[27]11'!$D$8:$D$40,'[27]11'!$D$47:$D$79</definedName>
    <definedName name="T11?axis?R?ДОГОВОР">'[3]11'!$D$8:$L$11, '[3]11'!$D$15:$L$18, '[3]11'!$D$22:$L$23, '[3]11'!$D$29:$L$32, '[3]11'!$D$36:$L$39, '[3]11'!$D$43:$L$46, '[3]11'!$D$51:$L$54, '[3]11'!$D$58:$L$61, '[3]11'!$D$65:$L$68, '[3]11'!$D$72:$L$82</definedName>
    <definedName name="T11?axis?R?ДОГОВОР?">'[3]11'!$B$72:$B$82, '[3]11'!$B$65:$B$68, '[3]11'!$B$58:$B$61, '[3]11'!$B$51:$B$54, '[3]11'!$B$43:$B$46, '[3]11'!$B$36:$B$39, '[3]11'!$B$29:$B$33, '[3]11'!$B$22:$B$25, '[3]11'!$B$15:$B$18, '[3]11'!$B$8:$B$11</definedName>
    <definedName name="T11?axis?R?ПЭ">'[27]11'!$F$8:$Q$40,'[27]11'!$F$47:$Q$79</definedName>
    <definedName name="T11?axis?R?ПЭ?">'[27]11'!$B$8:$B$40,'[27]11'!$B$47:$B$79</definedName>
    <definedName name="T11?axis?R?СЦТ">'[27]11'!$F$42:$Q$45,'[27]11'!$F$81:$Q$84</definedName>
    <definedName name="T11?axis?R?СЦТ?">'[27]11'!$A$81:$A$84,'[27]11'!$A$42:$A$45</definedName>
    <definedName name="T11?Data">#N/A</definedName>
    <definedName name="T11?item_ext?ВСЕГО">'[27]11'!$A$75:$Q$79,'[27]11'!$A$36:$Q$40</definedName>
    <definedName name="T11?item_ext?ИТОГО">'[27]11'!$A$80:$Q$80,'[27]11'!$A$41:$Q$41</definedName>
    <definedName name="T11?item_ext?СЦТ">'[27]11'!$A$81:$Q$85,'[27]11'!$A$42:$Q$46</definedName>
    <definedName name="T11?L8" localSheetId="15">'[30]10'!#REF!</definedName>
    <definedName name="T11?L8" localSheetId="21">'[30]10'!#REF!</definedName>
    <definedName name="T11?L8" localSheetId="46">'[30]10'!#REF!</definedName>
    <definedName name="T11?L8" localSheetId="47">'[30]10'!#REF!</definedName>
    <definedName name="T11?L8" localSheetId="7">'[30]10'!#REF!</definedName>
    <definedName name="T11?L8">'[30]10'!#REF!</definedName>
    <definedName name="T11?L8.x" localSheetId="15">'[30]10'!#REF!</definedName>
    <definedName name="T11?L8.x" localSheetId="21">'[30]10'!#REF!</definedName>
    <definedName name="T11?L8.x" localSheetId="46">'[30]10'!#REF!</definedName>
    <definedName name="T11?L8.x" localSheetId="7">'[30]10'!#REF!</definedName>
    <definedName name="T11?L8.x">'[30]10'!#REF!</definedName>
    <definedName name="T12_Copy" localSheetId="15">'[30]11'!#REF!</definedName>
    <definedName name="T12_Copy" localSheetId="21">'[30]11'!#REF!</definedName>
    <definedName name="T12_Copy" localSheetId="46">'[30]11'!#REF!</definedName>
    <definedName name="T12_Copy" localSheetId="7">'[30]11'!#REF!</definedName>
    <definedName name="T12_Copy">'[30]11'!#REF!</definedName>
    <definedName name="T12?axis?ПРД?БАЗ">'[3]12'!$J$6:$K$20,'[3]12'!$G$6:$H$20</definedName>
    <definedName name="T12?axis?ПРД?ПРЕД">'[3]12'!$L$6:$M$20,'[3]12'!$E$6:$F$20</definedName>
    <definedName name="T12?axis?ПФ?ПЛАН">'[3]12'!$J$6:$J$20,'[3]12'!$E$6:$E$20,'[3]12'!$L$6:$L$20,'[3]12'!$G$6:$G$20</definedName>
    <definedName name="T12?axis?ПФ?ФАКТ">'[3]12'!$K$6:$K$20,'[3]12'!$F$6:$F$20,'[3]12'!$M$6:$M$20,'[3]12'!$H$6:$H$20</definedName>
    <definedName name="T12?axis?R?ПЭ">'[27]12'!$C$19:$J$21,'[27]12'!$C$25:$J$27,'[27]12'!$C$33:$J$35,'[27]12'!$C$37:$J$39,'[27]12'!$C$43:$J$45,'[27]12'!$C$15:$J$17</definedName>
    <definedName name="T12?axis?R?ПЭ?">'[27]12'!$B$19:$B$21,'[27]12'!$B$25:$B$27,'[27]12'!$B$33:$B$35,'[27]12'!$B$37:$B$39,'[27]12'!$B$43:$B$45,'[27]12'!$B$15:$B$17</definedName>
    <definedName name="T12?Data">'[3]12'!$E$6:$M$9,  '[3]12'!$E$11:$M$18,  '[3]12'!$E$20:$M$20</definedName>
    <definedName name="T12?item_ext?ВСЕГО">'[27]12'!$C$29:$J$29,'[27]12'!$C$47:$J$47</definedName>
    <definedName name="T12?item_ext?ТЭ">'[27]12'!$C$24:$J$28,'[27]12'!$C$42:$J$46</definedName>
    <definedName name="T12?item_ext?ТЭ.ВСЕГО">'[27]12'!$C$23:$J$23,'[27]12'!$C$41:$J$41</definedName>
    <definedName name="T12?item_ext?ЭЭ">'[27]12'!$C$15:$J$22,'[27]12'!$C$33:$J$40</definedName>
    <definedName name="T12?item_ext?ЭЭ.ВСЕГО">'[27]12'!$C$13:$J$13,'[27]12'!$C$31:$J$31</definedName>
    <definedName name="T12?L10">'[27]12'!$J$41,'[27]12'!$J$43:$J$45,'[27]12'!$J$47,'[27]12'!$J$13,'[27]12'!$J$15:$J$17,'[27]12'!$J$19:$J$21,'[27]12'!$J$23,'[27]12'!$J$25:$J$27,'[27]12'!$J$29,'[27]12'!$J$31,'[27]12'!$J$33:$J$35,'[27]12'!$J$37:$J$39</definedName>
    <definedName name="T12?L2.1.x">'[3]12'!$A$16:$M$16, '[3]12'!$A$14:$M$14, '[3]12'!$A$12:$M$12, '[3]12'!$A$18:$M$18</definedName>
    <definedName name="T12?L2.x">'[3]12'!$A$15:$M$15, '[3]12'!$A$13:$M$13, '[3]12'!$A$11:$M$11, '[3]12'!$A$17:$M$17</definedName>
    <definedName name="T12?L4">'[27]12'!$D$41,'[27]12'!$D$43:$D$45,'[27]12'!$D$13,'[27]12'!$D$15:$D$17,'[27]12'!$D$19:$D$21,'[27]12'!$D$23,'[27]12'!$D$25:$D$27,'[27]12'!$D$31,'[27]12'!$D$33:$D$35,'[27]12'!$D$37:$D$39</definedName>
    <definedName name="T12?L5">'[27]12'!$E$41,'[27]12'!$E$43:$E$45,'[27]12'!$E$13,'[27]12'!$E$15:$E$17,'[27]12'!$E$19:$E$21,'[27]12'!$E$23,'[27]12'!$E$25:$E$27,'[27]12'!$E$31,'[27]12'!$E$33:$E$35,'[27]12'!$E$37:$E$39</definedName>
    <definedName name="T12?L6">'[27]12'!$F$43:$F$45,'[27]12'!$F$15:$F$16,'[27]12'!$F$19:$F$21,'[27]12'!$F$25:$F$27,'[27]12'!$F$33:$F$34,'[27]12'!$F$37:$F$39</definedName>
    <definedName name="T12?L7">'[27]12'!$G$43:$G$45,'[27]12'!$G$15:$G$16,'[27]12'!$G$19:$G$21,'[27]12'!$G$25:$G$27,'[27]12'!$G$33:$G$34,'[27]12'!$G$37:$G$39</definedName>
    <definedName name="T12?L8">'[27]12'!$H$41,'[27]12'!$H$43:$H$45,'[27]12'!$H$47,'[27]12'!$H$13,'[27]12'!$H$15:$H$17,'[27]12'!$H$19:$H$21,'[27]12'!$H$23,'[27]12'!$H$25:$H$27,'[27]12'!$H$29,'[27]12'!$H$31,'[27]12'!$H$33:$H$35,'[27]12'!$H$37:$H$39</definedName>
    <definedName name="T12?L9">'[27]12'!$I$41,'[27]12'!$I$43:$I$45,'[27]12'!$I$47,'[27]12'!$I$13,'[27]12'!$I$15:$I$17,'[27]12'!$I$19:$I$21,'[27]12'!$I$23,'[27]12'!$I$25:$I$27,'[27]12'!$I$29,'[27]12'!$I$31,'[27]12'!$I$33:$I$35,'[27]12'!$I$37:$I$39</definedName>
    <definedName name="T12?unit?ГА">'[3]12'!$E$16:$I$16, '[3]12'!$E$14:$I$14, '[3]12'!$E$9:$I$9, '[3]12'!$E$12:$I$12, '[3]12'!$E$18:$I$18, '[3]12'!$E$7:$I$7</definedName>
    <definedName name="T12?unit?ГКАЛ.Ч">'[27]12'!$D$23:$D$28,'[27]12'!$D$41:$D$46</definedName>
    <definedName name="T12?unit?МВТ">'[27]12'!$D$13:$D$21,'[27]12'!$D$31:$D$39</definedName>
    <definedName name="T12?unit?МКВТЧ">'[27]12'!$C$13:$C$21,'[27]12'!$C$31:$C$39</definedName>
    <definedName name="T12?unit?РУБ.ГКАЛ">'[27]12'!$E$23:$E$28,'[27]12'!$G$23:$G$28,'[27]12'!$E$41:$E$46,'[27]12'!$G$41:$G$46</definedName>
    <definedName name="T12?unit?РУБ.КВТ">'[27]12'!$F$13:$F$21,'[27]12'!$F$31:$F$39</definedName>
    <definedName name="T12?unit?РУБ.ТКВТЧ">'[27]12'!$E$13:$E$21,'[27]12'!$G$13:$G$21,'[27]12'!$E$31:$E$39,'[27]12'!$G$31:$G$39</definedName>
    <definedName name="T12?unit?ТГКАЛ">'[27]12'!$C$23:$C$28,'[27]12'!$C$41:$C$46</definedName>
    <definedName name="T12?unit?ТРУБ">'[3]12'!$E$15:$I$15, '[3]12'!$E$13:$I$13, '[3]12'!$E$6:$I$6, '[3]12'!$E$8:$I$8, '[3]12'!$E$11:$I$11, '[3]12'!$E$17:$I$17, '[3]12'!$E$20:$I$20</definedName>
    <definedName name="T12?unit?ТРУБ.ГКАЛ.Ч">'[27]12'!$F$23:$F$28,'[27]12'!$F$41:$F$46</definedName>
    <definedName name="T13?axis?ПРД?БАЗ">'[3]13'!$I$6:$J$16,'[3]13'!$F$6:$G$16</definedName>
    <definedName name="T13?axis?ПРД?ПРЕД">'[3]13'!$K$6:$L$16,'[3]13'!$D$6:$E$16</definedName>
    <definedName name="T13?axis?ПРД?РЕГ" localSheetId="15">#REF!</definedName>
    <definedName name="T13?axis?ПРД?РЕГ" localSheetId="21">#REF!</definedName>
    <definedName name="T13?axis?ПРД?РЕГ" localSheetId="46">#REF!</definedName>
    <definedName name="T13?axis?ПРД?РЕГ" localSheetId="47">#REF!</definedName>
    <definedName name="T13?axis?ПРД?РЕГ" localSheetId="7">#REF!</definedName>
    <definedName name="T13?axis?ПРД?РЕГ">#REF!</definedName>
    <definedName name="T13?axis?ПФ?ПЛАН">'[3]13'!$I$6:$I$16,'[3]13'!$D$6:$D$16,'[3]13'!$K$6:$K$16,'[3]13'!$F$6:$F$16</definedName>
    <definedName name="T13?axis?ПФ?ФАКТ">'[3]13'!$J$6:$J$16,'[3]13'!$E$6:$E$16,'[3]13'!$L$6:$L$16,'[3]13'!$G$6:$G$16</definedName>
    <definedName name="T13?Data">'[3]13'!$D$6:$L$7, '[3]13'!$D$8:$L$8, '[3]13'!$D$9:$L$16</definedName>
    <definedName name="T13?item_ext?РОСТ" localSheetId="15">#REF!</definedName>
    <definedName name="T13?item_ext?РОСТ" localSheetId="21">#REF!</definedName>
    <definedName name="T13?item_ext?РОСТ" localSheetId="46">#REF!</definedName>
    <definedName name="T13?item_ext?РОСТ" localSheetId="47">#REF!</definedName>
    <definedName name="T13?item_ext?РОСТ" localSheetId="7">#REF!</definedName>
    <definedName name="T13?item_ext?РОСТ">#REF!</definedName>
    <definedName name="T13?L1.1" localSheetId="15">#REF!</definedName>
    <definedName name="T13?L1.1" localSheetId="21">#REF!</definedName>
    <definedName name="T13?L1.1" localSheetId="46">#REF!</definedName>
    <definedName name="T13?L1.1" localSheetId="7">#REF!</definedName>
    <definedName name="T13?L1.1">#REF!</definedName>
    <definedName name="T13?L1.2" localSheetId="15">#REF!</definedName>
    <definedName name="T13?L1.2" localSheetId="21">#REF!</definedName>
    <definedName name="T13?L1.2" localSheetId="46">#REF!</definedName>
    <definedName name="T13?L1.2" localSheetId="7">#REF!</definedName>
    <definedName name="T13?L1.2">#REF!</definedName>
    <definedName name="T13?L2" localSheetId="15">#REF!</definedName>
    <definedName name="T13?L2" localSheetId="21">#REF!</definedName>
    <definedName name="T13?L2" localSheetId="46">#REF!</definedName>
    <definedName name="T13?L2" localSheetId="7">#REF!</definedName>
    <definedName name="T13?L2">#REF!</definedName>
    <definedName name="T13?L2.1" localSheetId="15">#REF!</definedName>
    <definedName name="T13?L2.1" localSheetId="21">#REF!</definedName>
    <definedName name="T13?L2.1" localSheetId="46">#REF!</definedName>
    <definedName name="T13?L2.1" localSheetId="7">#REF!</definedName>
    <definedName name="T13?L2.1">#REF!</definedName>
    <definedName name="T13?L2.1.1" localSheetId="15">#REF!</definedName>
    <definedName name="T13?L2.1.1" localSheetId="21">#REF!</definedName>
    <definedName name="T13?L2.1.1" localSheetId="46">#REF!</definedName>
    <definedName name="T13?L2.1.1" localSheetId="7">#REF!</definedName>
    <definedName name="T13?L2.1.1">#REF!</definedName>
    <definedName name="T13?L2.1.2" localSheetId="15">#REF!</definedName>
    <definedName name="T13?L2.1.2" localSheetId="21">#REF!</definedName>
    <definedName name="T13?L2.1.2" localSheetId="46">#REF!</definedName>
    <definedName name="T13?L2.1.2" localSheetId="7">#REF!</definedName>
    <definedName name="T13?L2.1.2">#REF!</definedName>
    <definedName name="T13?L2.2" localSheetId="15">#REF!</definedName>
    <definedName name="T13?L2.2" localSheetId="21">#REF!</definedName>
    <definedName name="T13?L2.2" localSheetId="46">#REF!</definedName>
    <definedName name="T13?L2.2" localSheetId="7">#REF!</definedName>
    <definedName name="T13?L2.2">#REF!</definedName>
    <definedName name="T13?L2.2.1" localSheetId="15">#REF!</definedName>
    <definedName name="T13?L2.2.1" localSheetId="21">#REF!</definedName>
    <definedName name="T13?L2.2.1" localSheetId="46">#REF!</definedName>
    <definedName name="T13?L2.2.1" localSheetId="7">#REF!</definedName>
    <definedName name="T13?L2.2.1">#REF!</definedName>
    <definedName name="T13?L2.2.2" localSheetId="15">#REF!</definedName>
    <definedName name="T13?L2.2.2" localSheetId="21">#REF!</definedName>
    <definedName name="T13?L2.2.2" localSheetId="46">#REF!</definedName>
    <definedName name="T13?L2.2.2" localSheetId="7">#REF!</definedName>
    <definedName name="T13?L2.2.2">#REF!</definedName>
    <definedName name="T13?L3" localSheetId="15">#REF!</definedName>
    <definedName name="T13?L3" localSheetId="21">#REF!</definedName>
    <definedName name="T13?L3" localSheetId="46">#REF!</definedName>
    <definedName name="T13?L3" localSheetId="7">#REF!</definedName>
    <definedName name="T13?L3">#REF!</definedName>
    <definedName name="T13?L4" localSheetId="15">#REF!</definedName>
    <definedName name="T13?L4" localSheetId="21">#REF!</definedName>
    <definedName name="T13?L4" localSheetId="46">#REF!</definedName>
    <definedName name="T13?L4" localSheetId="7">#REF!</definedName>
    <definedName name="T13?L4">#REF!</definedName>
    <definedName name="T13?Name" localSheetId="15">#REF!</definedName>
    <definedName name="T13?Name" localSheetId="21">#REF!</definedName>
    <definedName name="T13?Name" localSheetId="46">#REF!</definedName>
    <definedName name="T13?Name" localSheetId="7">#REF!</definedName>
    <definedName name="T13?Name">#REF!</definedName>
    <definedName name="T13?Table" localSheetId="15">#REF!</definedName>
    <definedName name="T13?Table" localSheetId="21">#REF!</definedName>
    <definedName name="T13?Table" localSheetId="46">#REF!</definedName>
    <definedName name="T13?Table" localSheetId="7">#REF!</definedName>
    <definedName name="T13?Table">#REF!</definedName>
    <definedName name="T13?Title" localSheetId="15">#REF!</definedName>
    <definedName name="T13?Title" localSheetId="21">#REF!</definedName>
    <definedName name="T13?Title" localSheetId="46">#REF!</definedName>
    <definedName name="T13?Title" localSheetId="7">#REF!</definedName>
    <definedName name="T13?Title">#REF!</definedName>
    <definedName name="T13?unit?МКВТЧ" localSheetId="15">#REF!</definedName>
    <definedName name="T13?unit?МКВТЧ" localSheetId="21">#REF!</definedName>
    <definedName name="T13?unit?МКВТЧ" localSheetId="46">#REF!</definedName>
    <definedName name="T13?unit?МКВТЧ" localSheetId="7">#REF!</definedName>
    <definedName name="T13?unit?МКВТЧ">#REF!</definedName>
    <definedName name="T13?unit?ПРЦ" localSheetId="15">#REF!</definedName>
    <definedName name="T13?unit?ПРЦ" localSheetId="21">#REF!</definedName>
    <definedName name="T13?unit?ПРЦ" localSheetId="46">#REF!</definedName>
    <definedName name="T13?unit?ПРЦ" localSheetId="7">#REF!</definedName>
    <definedName name="T13?unit?ПРЦ">#REF!</definedName>
    <definedName name="T13?unit?РУБ.ТМКБ">'[3]13'!$D$14:$H$14,'[3]13'!$D$11:$H$11</definedName>
    <definedName name="T13?unit?ТГКАЛ" localSheetId="15">#REF!</definedName>
    <definedName name="T13?unit?ТГКАЛ" localSheetId="21">#REF!</definedName>
    <definedName name="T13?unit?ТГКАЛ" localSheetId="46">#REF!</definedName>
    <definedName name="T13?unit?ТГКАЛ" localSheetId="47">#REF!</definedName>
    <definedName name="T13?unit?ТГКАЛ" localSheetId="7">#REF!</definedName>
    <definedName name="T13?unit?ТГКАЛ">#REF!</definedName>
    <definedName name="T13?unit?ТМКБ">'[3]13'!$D$13:$H$13,'[3]13'!$D$10:$H$10</definedName>
    <definedName name="T13?unit?ТРУБ">'[3]13'!$D$12:$H$12,'[3]13'!$D$15:$H$16,'[3]13'!$D$8:$H$9</definedName>
    <definedName name="T14_Copy" localSheetId="15">'[30]12'!#REF!</definedName>
    <definedName name="T14_Copy" localSheetId="21">'[30]12'!#REF!</definedName>
    <definedName name="T14_Copy" localSheetId="46">'[30]12'!#REF!</definedName>
    <definedName name="T14_Copy" localSheetId="47">'[30]12'!#REF!</definedName>
    <definedName name="T14_Copy" localSheetId="7">'[30]12'!#REF!</definedName>
    <definedName name="T14_Copy">'[30]12'!#REF!</definedName>
    <definedName name="T14?axis?ПРД?БАЗ">'[3]14'!$J$6:$K$20,'[3]14'!$G$6:$H$20</definedName>
    <definedName name="T14?axis?ПРД?ПРЕД">'[3]14'!$L$6:$M$20,'[3]14'!$E$6:$F$20</definedName>
    <definedName name="T14?axis?ПФ?ПЛАН">'[3]14'!$G$6:$G$20,'[3]14'!$J$6:$J$20,'[3]14'!$L$6:$L$20,'[3]14'!$E$6:$E$20</definedName>
    <definedName name="T14?axis?ПФ?ФАКТ">'[3]14'!$H$6:$H$20,'[3]14'!$K$6:$K$20,'[3]14'!$M$6:$M$20,'[3]14'!$F$6:$F$20</definedName>
    <definedName name="T14?axis?R?ПЭ">'[27]14'!$C$8:$E$10,'[27]14'!$C$14:$E$16</definedName>
    <definedName name="T14?axis?R?ПЭ?">'[27]14'!$B$8:$B$10,'[27]14'!$B$14:$B$16</definedName>
    <definedName name="T14?Data">'[3]14'!$E$7:$M$18,  '[3]14'!$E$20:$M$20</definedName>
    <definedName name="T14?item_ext?ВСЕГО">'[27]14'!$A$6:$E$6,'[27]14'!$A$12:$E$12</definedName>
    <definedName name="T14?L1">'[3]14'!$A$13:$M$13, '[3]14'!$A$10:$M$10, '[3]14'!$A$7:$M$7, '[3]14'!$A$16:$M$16</definedName>
    <definedName name="T14?L1.1">'[3]14'!$A$14:$M$14, '[3]14'!$A$11:$M$11, '[3]14'!$A$8:$M$8, '[3]14'!$A$17:$M$17</definedName>
    <definedName name="T14?L1.2">'[3]14'!$A$15:$M$15, '[3]14'!$A$12:$M$12, '[3]14'!$A$9:$M$9, '[3]14'!$A$18:$M$18</definedName>
    <definedName name="T14?L3">'[27]14'!$C$12,'[27]14'!$C$14:$C$16,'[27]14'!$C$6,'[27]14'!$C$8:$C$10</definedName>
    <definedName name="T14?L4">'[27]14'!$D$12,'[27]14'!$D$14:$D$16,'[27]14'!$D$6,'[27]14'!$D$8:$D$10</definedName>
    <definedName name="T14?L5">'[27]14'!$E$12,'[27]14'!$E$14:$E$16,'[27]14'!$E$6,'[27]14'!$E$8:$E$10</definedName>
    <definedName name="T14?unit?ПРЦ">'[3]14'!$E$15:$I$15, '[3]14'!$E$12:$I$12, '[3]14'!$E$9:$I$9, '[3]14'!$E$18:$I$18, '[3]14'!$J$6:$M$20</definedName>
    <definedName name="T14?unit?ТРУБ">'[3]14'!$E$13:$I$14, '[3]14'!$E$10:$I$11, '[3]14'!$E$7:$I$8, '[3]14'!$E$16:$I$17, '[3]14'!$E$20:$I$20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5?axis?ПРД?БАЗ">'[3]15'!$I$6:$J$11,'[3]15'!$F$6:$G$11</definedName>
    <definedName name="T15?axis?ПРД?ПРЕД">'[3]15'!$K$6:$L$11,'[3]15'!$D$6:$E$11</definedName>
    <definedName name="T15?axis?ПФ?ПЛАН">'[3]15'!$I$6:$I$11,'[3]15'!$D$6:$D$11,'[3]15'!$K$6:$K$11,'[3]15'!$F$6:$F$11</definedName>
    <definedName name="T15?axis?ПФ?ФАКТ">'[3]15'!$J$6:$J$11,'[3]15'!$E$6:$E$11,'[3]15'!$L$6:$L$11,'[3]15'!$G$6:$G$11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15">#REF!</definedName>
    <definedName name="T16_Copy" localSheetId="21">#REF!</definedName>
    <definedName name="T16_Copy" localSheetId="46">#REF!</definedName>
    <definedName name="T16_Copy" localSheetId="47">#REF!</definedName>
    <definedName name="T16_Copy" localSheetId="7">#REF!</definedName>
    <definedName name="T16_Copy">#REF!</definedName>
    <definedName name="T16_Copy2" localSheetId="15">#REF!</definedName>
    <definedName name="T16_Copy2" localSheetId="21">#REF!</definedName>
    <definedName name="T16_Copy2" localSheetId="46">#REF!</definedName>
    <definedName name="T16_Copy2" localSheetId="7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 localSheetId="47">'[11]16'!$G$44:$K$44,'[11]16'!$G$7:$K$8,P1_T16_Protect</definedName>
    <definedName name="T16_Protect">'[11]16'!$G$44:$K$44,'[11]16'!$G$7:$K$8,P1_T16_Protect</definedName>
    <definedName name="T16?axis?ПРД?БАЗ">'[3]16'!$J$6:$K$88,               '[3]16'!$G$6:$H$88</definedName>
    <definedName name="T16?axis?ПРД?ПРЕД">'[3]16'!$L$6:$M$88,               '[3]16'!$E$6:$F$88</definedName>
    <definedName name="T16?axis?ПРД?РЕГ" localSheetId="15">#REF!</definedName>
    <definedName name="T16?axis?ПРД?РЕГ" localSheetId="21">#REF!</definedName>
    <definedName name="T16?axis?ПРД?РЕГ" localSheetId="46">#REF!</definedName>
    <definedName name="T16?axis?ПРД?РЕГ" localSheetId="47">#REF!</definedName>
    <definedName name="T16?axis?ПРД?РЕГ" localSheetId="7">#REF!</definedName>
    <definedName name="T16?axis?ПРД?РЕГ">#REF!</definedName>
    <definedName name="T16?axis?ПФ?ПЛАН">'[3]16'!$J$6:$J$88,               '[3]16'!$E$6:$E$88,               '[3]16'!$L$6:$L$88,               '[3]16'!$G$6:$G$88</definedName>
    <definedName name="T16?axis?ПФ?ФАКТ">'[3]16'!$K$6:$K$88,               '[3]16'!$F$6:$F$88,               '[3]16'!$M$6:$M$88,               '[3]16'!$H$6:$H$88</definedName>
    <definedName name="T16?axis?R?ДОГОВОР" localSheetId="47">'[3]16'!$E$40:$M$40,'[3]16'!$E$60:$M$60,'[3]16'!$E$36:$M$36,'[3]16'!$E$32:$M$32,'[3]16'!$E$28:$M$28,'[3]16'!$E$24:$M$24,'[3]16'!$E$68:$M$68,'[3]16'!$E$56:$M$56,'[3]16'!$E$20:$M$20,P1_T16?axis?R?ДОГОВОР</definedName>
    <definedName name="T16?axis?R?ДОГОВОР">'[3]16'!$E$40:$M$40,'[3]16'!$E$60:$M$60,'[3]16'!$E$36:$M$36,'[3]16'!$E$32:$M$32,'[3]16'!$E$28:$M$28,'[3]16'!$E$24:$M$24,'[3]16'!$E$68:$M$68,'[3]16'!$E$56:$M$56,'[3]16'!$E$20:$M$20,P1_T16?axis?R?ДОГОВОР</definedName>
    <definedName name="T16?axis?R?ДОГОВОР?" localSheetId="47">'[3]16'!$A$8,'[3]16'!$A$12,'[3]16'!$A$16,P1_T16?axis?R?ДОГОВОР?</definedName>
    <definedName name="T16?axis?R?ДОГОВОР?">'[3]16'!$A$8,'[3]16'!$A$12,'[3]16'!$A$16,P1_T16?axis?R?ДОГОВОР?</definedName>
    <definedName name="T16?axis?R?ОРГ" localSheetId="15">#REF!</definedName>
    <definedName name="T16?axis?R?ОРГ" localSheetId="21">#REF!</definedName>
    <definedName name="T16?axis?R?ОРГ" localSheetId="46">#REF!</definedName>
    <definedName name="T16?axis?R?ОРГ" localSheetId="47">#REF!</definedName>
    <definedName name="T16?axis?R?ОРГ" localSheetId="7">#REF!</definedName>
    <definedName name="T16?axis?R?ОРГ">#REF!</definedName>
    <definedName name="T16?axis?R?ОРГ?" localSheetId="15">#REF!</definedName>
    <definedName name="T16?axis?R?ОРГ?" localSheetId="21">#REF!</definedName>
    <definedName name="T16?axis?R?ОРГ?" localSheetId="46">#REF!</definedName>
    <definedName name="T16?axis?R?ОРГ?" localSheetId="7">#REF!</definedName>
    <definedName name="T16?axis?R?ОРГ?">#REF!</definedName>
    <definedName name="T16?Data" localSheetId="15">#REF!</definedName>
    <definedName name="T16?Data" localSheetId="21">#REF!</definedName>
    <definedName name="T16?Data" localSheetId="46">#REF!</definedName>
    <definedName name="T16?Data" localSheetId="7">#REF!</definedName>
    <definedName name="T16?Data">#REF!</definedName>
    <definedName name="T16?item_ext?РОСТ" localSheetId="15">#REF!</definedName>
    <definedName name="T16?item_ext?РОСТ" localSheetId="21">#REF!</definedName>
    <definedName name="T16?item_ext?РОСТ" localSheetId="46">#REF!</definedName>
    <definedName name="T16?item_ext?РОСТ" localSheetId="7">#REF!</definedName>
    <definedName name="T16?item_ext?РОСТ">#REF!</definedName>
    <definedName name="T16?L1" localSheetId="47">'[3]16'!$A$38:$M$38,'[3]16'!$A$58:$M$58,'[3]16'!$A$34:$M$34,'[3]16'!$A$30:$M$30,'[3]16'!$A$26:$M$26,'[3]16'!$A$22:$M$22,'[3]16'!$A$66:$M$66,'[3]16'!$A$54:$M$54,'[3]16'!$A$18:$M$18,P1_T16?L1</definedName>
    <definedName name="T16?L1">'[3]16'!$A$38:$M$38,'[3]16'!$A$58:$M$58,'[3]16'!$A$34:$M$34,'[3]16'!$A$30:$M$30,'[3]16'!$A$26:$M$26,'[3]16'!$A$22:$M$22,'[3]16'!$A$66:$M$66,'[3]16'!$A$54:$M$54,'[3]16'!$A$18:$M$18,P1_T16?L1</definedName>
    <definedName name="T16?L1.x" localSheetId="47">'[3]16'!$A$40:$M$40,'[3]16'!$A$60:$M$60,'[3]16'!$A$36:$M$36,'[3]16'!$A$32:$M$32,'[3]16'!$A$28:$M$28,'[3]16'!$A$24:$M$24,'[3]16'!$A$68:$M$68,'[3]16'!$A$56:$M$56,'[3]16'!$A$20:$M$20,P1_T16?L1.x</definedName>
    <definedName name="T16?L1.x">'[3]16'!$A$40:$M$40,'[3]16'!$A$60:$M$60,'[3]16'!$A$36:$M$36,'[3]16'!$A$32:$M$32,'[3]16'!$A$28:$M$28,'[3]16'!$A$24:$M$24,'[3]16'!$A$68:$M$68,'[3]16'!$A$56:$M$56,'[3]16'!$A$20:$M$20,P1_T16?L1.x</definedName>
    <definedName name="T16?L2" localSheetId="15">#REF!</definedName>
    <definedName name="T16?L2" localSheetId="21">#REF!</definedName>
    <definedName name="T16?L2" localSheetId="46">#REF!</definedName>
    <definedName name="T16?L2" localSheetId="47">#REF!</definedName>
    <definedName name="T16?L2" localSheetId="7">#REF!</definedName>
    <definedName name="T16?L2">#REF!</definedName>
    <definedName name="T16?Name" localSheetId="15">#REF!</definedName>
    <definedName name="T16?Name" localSheetId="21">#REF!</definedName>
    <definedName name="T16?Name" localSheetId="46">#REF!</definedName>
    <definedName name="T16?Name" localSheetId="7">#REF!</definedName>
    <definedName name="T16?Name">#REF!</definedName>
    <definedName name="T16?Table" localSheetId="15">#REF!</definedName>
    <definedName name="T16?Table" localSheetId="21">#REF!</definedName>
    <definedName name="T16?Table" localSheetId="46">#REF!</definedName>
    <definedName name="T16?Table" localSheetId="7">#REF!</definedName>
    <definedName name="T16?Table">#REF!</definedName>
    <definedName name="T16?Title" localSheetId="15">#REF!</definedName>
    <definedName name="T16?Title" localSheetId="21">#REF!</definedName>
    <definedName name="T16?Title" localSheetId="46">#REF!</definedName>
    <definedName name="T16?Title" localSheetId="7">#REF!</definedName>
    <definedName name="T16?Title">#REF!</definedName>
    <definedName name="T16?unit?ПРЦ" localSheetId="15">#REF!</definedName>
    <definedName name="T16?unit?ПРЦ" localSheetId="21">#REF!</definedName>
    <definedName name="T16?unit?ПРЦ" localSheetId="46">#REF!</definedName>
    <definedName name="T16?unit?ПРЦ" localSheetId="7">#REF!</definedName>
    <definedName name="T16?unit?ПРЦ">#REF!</definedName>
    <definedName name="T16?unit?РУБ.ЧЕЛ">'[27]16'!$D$15:$M$15,'[27]16'!$D$18:$M$18,'[27]16'!$D$21:$M$21,'[27]16'!$D$24:$M$24,'[27]16'!$D$27:$M$27,'[27]16'!$D$30:$M$31,'[27]16'!$D$38:$M$38,'[27]16'!$D$44:$M$44,'[27]16'!$D$47:$M$47,'[27]16'!$D$10:$M$10</definedName>
    <definedName name="T16?unit?ТРУБ" localSheetId="15">#REF!</definedName>
    <definedName name="T16?unit?ТРУБ" localSheetId="21">#REF!</definedName>
    <definedName name="T16?unit?ТРУБ" localSheetId="46">#REF!</definedName>
    <definedName name="T16?unit?ТРУБ" localSheetId="47">#REF!</definedName>
    <definedName name="T16?unit?ТРУБ" localSheetId="7">#REF!</definedName>
    <definedName name="T16?unit?ТРУБ">#REF!</definedName>
    <definedName name="T16?unit?ЧЕЛ">'[27]16'!$D$37:$M$37,'[27]16'!$D$43:$M$43,'[27]16'!$D$7:$M$8</definedName>
    <definedName name="T17_1_Change1">'[11]17.1'!$L$9:$L$12,'[11]17.1'!$L$14:$L$17,'[11]17.1'!$L$19:$L$22</definedName>
    <definedName name="T17_Protect" localSheetId="15">'[11]21.3'!$E$54:$I$57,'[11]21.3'!$E$10:$I$10,P1_T17_Protect</definedName>
    <definedName name="T17_Protect" localSheetId="21">'[11]21.3'!$E$54:$I$57,'[11]21.3'!$E$10:$I$10,P1_T17_Protect</definedName>
    <definedName name="T17_Protect" localSheetId="46">'[11]21.3'!$E$54:$I$57,'[11]21.3'!$E$10:$I$10,P1_T17_Protect</definedName>
    <definedName name="T17_Protect" localSheetId="47">'[11]21.3'!$E$54:$I$57,'[11]21.3'!$E$10:$I$10,P1_T17_Protect</definedName>
    <definedName name="T17_Protect" localSheetId="7">'[11]21.3'!$E$54:$I$57,'[11]21.3'!$E$10:$I$10,P1_T17_Protect</definedName>
    <definedName name="T17_Protect">'[11]21.3'!$E$54:$I$57,'[11]21.3'!$E$10:$I$10,P1_T17_Protect</definedName>
    <definedName name="T17_Protection" localSheetId="47">P2_T17_Protection,P3_T17_Protection,P4_T17_Protection,P5_T17_Protection,'28-1_Ливневка'!P6_T17_Protection</definedName>
    <definedName name="T17_Protection">P2_T17_Protection,P3_T17_Protection,P4_T17_Protection,P5_T17_Protection,P6_T17_Protection</definedName>
    <definedName name="T17?axis?ПРД?БАЗ">'[3]17'!$I$6:$J$13,'[3]17'!$F$6:$G$13</definedName>
    <definedName name="T17?axis?ПРД?ПРЕД">'[3]17'!$K$6:$L$13,'[3]17'!$D$6:$E$13</definedName>
    <definedName name="T17?axis?ПРД?РЕГ" localSheetId="15">#REF!</definedName>
    <definedName name="T17?axis?ПРД?РЕГ" localSheetId="21">#REF!</definedName>
    <definedName name="T17?axis?ПРД?РЕГ" localSheetId="46">#REF!</definedName>
    <definedName name="T17?axis?ПРД?РЕГ" localSheetId="47">#REF!</definedName>
    <definedName name="T17?axis?ПРД?РЕГ" localSheetId="7">#REF!</definedName>
    <definedName name="T17?axis?ПРД?РЕГ">#REF!</definedName>
    <definedName name="T17?axis?ПФ?ПЛАН">'[3]17'!$I$6:$I$13,'[3]17'!$D$6:$D$13,'[3]17'!$K$6:$K$13,'[3]17'!$F$6:$F$13</definedName>
    <definedName name="T17?axis?ПФ?ФАКТ">'[3]17'!$J$6:$J$13,'[3]17'!$E$6:$E$13,'[3]17'!$L$6:$L$13,'[3]17'!$G$6:$G$13</definedName>
    <definedName name="T17?Data" localSheetId="15">#REF!</definedName>
    <definedName name="T17?Data" localSheetId="21">#REF!</definedName>
    <definedName name="T17?Data" localSheetId="46">#REF!</definedName>
    <definedName name="T17?Data" localSheetId="47">#REF!</definedName>
    <definedName name="T17?Data" localSheetId="7">#REF!</definedName>
    <definedName name="T17?Data">#REF!</definedName>
    <definedName name="T17?item_ext?РОСТ" localSheetId="15">#REF!</definedName>
    <definedName name="T17?item_ext?РОСТ" localSheetId="21">#REF!</definedName>
    <definedName name="T17?item_ext?РОСТ" localSheetId="46">#REF!</definedName>
    <definedName name="T17?item_ext?РОСТ" localSheetId="7">#REF!</definedName>
    <definedName name="T17?item_ext?РОСТ">#REF!</definedName>
    <definedName name="T17?L1" localSheetId="15">#REF!</definedName>
    <definedName name="T17?L1" localSheetId="21">#REF!</definedName>
    <definedName name="T17?L1" localSheetId="46">#REF!</definedName>
    <definedName name="T17?L1" localSheetId="7">#REF!</definedName>
    <definedName name="T17?L1">#REF!</definedName>
    <definedName name="T17?L2" localSheetId="15">#REF!</definedName>
    <definedName name="T17?L2" localSheetId="21">#REF!</definedName>
    <definedName name="T17?L2" localSheetId="46">#REF!</definedName>
    <definedName name="T17?L2" localSheetId="7">#REF!</definedName>
    <definedName name="T17?L2">#REF!</definedName>
    <definedName name="T17?L3" localSheetId="15">#REF!</definedName>
    <definedName name="T17?L3" localSheetId="21">#REF!</definedName>
    <definedName name="T17?L3" localSheetId="46">#REF!</definedName>
    <definedName name="T17?L3" localSheetId="7">#REF!</definedName>
    <definedName name="T17?L3">#REF!</definedName>
    <definedName name="T17?L4" localSheetId="15">#REF!</definedName>
    <definedName name="T17?L4" localSheetId="21">#REF!</definedName>
    <definedName name="T17?L4" localSheetId="46">#REF!</definedName>
    <definedName name="T17?L4" localSheetId="7">#REF!</definedName>
    <definedName name="T17?L4">#REF!</definedName>
    <definedName name="T17?L5" localSheetId="15">#REF!</definedName>
    <definedName name="T17?L5" localSheetId="21">#REF!</definedName>
    <definedName name="T17?L5" localSheetId="46">#REF!</definedName>
    <definedName name="T17?L5" localSheetId="7">#REF!</definedName>
    <definedName name="T17?L5">#REF!</definedName>
    <definedName name="T17?L6" localSheetId="15">#REF!</definedName>
    <definedName name="T17?L6" localSheetId="21">#REF!</definedName>
    <definedName name="T17?L6" localSheetId="46">#REF!</definedName>
    <definedName name="T17?L6" localSheetId="7">#REF!</definedName>
    <definedName name="T17?L6">#REF!</definedName>
    <definedName name="T17?L7" localSheetId="15">#REF!</definedName>
    <definedName name="T17?L7" localSheetId="21">#REF!</definedName>
    <definedName name="T17?L7" localSheetId="46">#REF!</definedName>
    <definedName name="T17?L7" localSheetId="7">#REF!</definedName>
    <definedName name="T17?L7">#REF!</definedName>
    <definedName name="T17?L8" localSheetId="15">#REF!</definedName>
    <definedName name="T17?L8" localSheetId="21">#REF!</definedName>
    <definedName name="T17?L8" localSheetId="46">#REF!</definedName>
    <definedName name="T17?L8" localSheetId="7">#REF!</definedName>
    <definedName name="T17?L8">#REF!</definedName>
    <definedName name="T17?Name" localSheetId="15">#REF!</definedName>
    <definedName name="T17?Name" localSheetId="21">#REF!</definedName>
    <definedName name="T17?Name" localSheetId="46">#REF!</definedName>
    <definedName name="T17?Name" localSheetId="7">#REF!</definedName>
    <definedName name="T17?Name">#REF!</definedName>
    <definedName name="T17?Table" localSheetId="15">#REF!</definedName>
    <definedName name="T17?Table" localSheetId="21">#REF!</definedName>
    <definedName name="T17?Table" localSheetId="46">#REF!</definedName>
    <definedName name="T17?Table" localSheetId="7">#REF!</definedName>
    <definedName name="T17?Table">#REF!</definedName>
    <definedName name="T17?Title" localSheetId="15">#REF!</definedName>
    <definedName name="T17?Title" localSheetId="21">#REF!</definedName>
    <definedName name="T17?Title" localSheetId="46">#REF!</definedName>
    <definedName name="T17?Title" localSheetId="7">#REF!</definedName>
    <definedName name="T17?Title">#REF!</definedName>
    <definedName name="T17?unit?ГКАЛЧ">'[24]29'!$M$26:$M$33,'[24]29'!$P$26:$P$33,'[24]29'!$G$52:$G$59,'[24]29'!$J$52:$J$59,'[24]29'!$M$52:$M$59,'[24]29'!$P$52:$P$59,'[24]29'!$G$26:$G$33,'[24]29'!$J$26:$J$33</definedName>
    <definedName name="T17?unit?РУБ.ГКАЛ" localSheetId="47">'[24]29'!$O$18:$O$25,P1_T17?unit?РУБ.ГКАЛ,P2_T17?unit?РУБ.ГКАЛ</definedName>
    <definedName name="T17?unit?РУБ.ГКАЛ">'[24]29'!$O$18:$O$25,P1_T17?unit?РУБ.ГКАЛ,P2_T17?unit?РУБ.ГКАЛ</definedName>
    <definedName name="T17?unit?ТГКАЛ" localSheetId="47">'[24]29'!$P$18:$P$25,P1_T17?unit?ТГКАЛ,P2_T17?unit?ТГКАЛ</definedName>
    <definedName name="T17?unit?ТГКАЛ">'[24]29'!$P$18:$P$25,P1_T17?unit?ТГКАЛ,P2_T17?unit?ТГКАЛ</definedName>
    <definedName name="T17?unit?ТРУБ" localSheetId="15">#REF!</definedName>
    <definedName name="T17?unit?ТРУБ" localSheetId="21">#REF!</definedName>
    <definedName name="T17?unit?ТРУБ" localSheetId="46">#REF!</definedName>
    <definedName name="T17?unit?ТРУБ" localSheetId="47">#REF!</definedName>
    <definedName name="T17?unit?ТРУБ" localSheetId="7">#REF!</definedName>
    <definedName name="T17?unit?ТРУБ">#REF!</definedName>
    <definedName name="T17?unit?ТРУБ.ГКАЛЧ.МЕС">'[24]29'!$L$26:$L$33,'[24]29'!$O$26:$O$33,'[24]29'!$F$52:$F$59,'[24]29'!$I$52:$I$59,'[24]29'!$L$52:$L$59,'[24]29'!$O$52:$O$59,'[24]29'!$F$26:$F$33,'[24]29'!$I$26:$I$33</definedName>
    <definedName name="T17?unit?ЧДН" localSheetId="15">#REF!</definedName>
    <definedName name="T17?unit?ЧДН" localSheetId="21">#REF!</definedName>
    <definedName name="T17?unit?ЧДН" localSheetId="46">#REF!</definedName>
    <definedName name="T17?unit?ЧДН" localSheetId="47">#REF!</definedName>
    <definedName name="T17?unit?ЧДН" localSheetId="7">#REF!</definedName>
    <definedName name="T17?unit?ЧДН">#REF!</definedName>
    <definedName name="T17?unit?ЧЕЛ" localSheetId="15">#REF!</definedName>
    <definedName name="T17?unit?ЧЕЛ" localSheetId="21">#REF!</definedName>
    <definedName name="T17?unit?ЧЕЛ" localSheetId="46">#REF!</definedName>
    <definedName name="T17?unit?ЧЕЛ" localSheetId="7">#REF!</definedName>
    <definedName name="T17?unit?ЧЕЛ">#REF!</definedName>
    <definedName name="T17.1_Copy" localSheetId="15">#REF!</definedName>
    <definedName name="T17.1_Copy" localSheetId="21">#REF!</definedName>
    <definedName name="T17.1_Copy" localSheetId="46">#REF!</definedName>
    <definedName name="T17.1_Copy" localSheetId="7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.1?axis?ПРД?БАЗ" localSheetId="15">#REF!</definedName>
    <definedName name="T17.1?axis?ПРД?БАЗ" localSheetId="21">#REF!</definedName>
    <definedName name="T17.1?axis?ПРД?БАЗ" localSheetId="46">#REF!</definedName>
    <definedName name="T17.1?axis?ПРД?БАЗ" localSheetId="47">#REF!</definedName>
    <definedName name="T17.1?axis?ПРД?БАЗ" localSheetId="7">#REF!</definedName>
    <definedName name="T17.1?axis?ПРД?БАЗ">#REF!</definedName>
    <definedName name="T17.1?axis?ПРД?РЕГ" localSheetId="15">#REF!</definedName>
    <definedName name="T17.1?axis?ПРД?РЕГ" localSheetId="21">#REF!</definedName>
    <definedName name="T17.1?axis?ПРД?РЕГ" localSheetId="46">#REF!</definedName>
    <definedName name="T17.1?axis?ПРД?РЕГ" localSheetId="7">#REF!</definedName>
    <definedName name="T17.1?axis?ПРД?РЕГ">#REF!</definedName>
    <definedName name="T17.1?axis?C?НП">'[3]17.1'!$E$6:$L$16, '[3]17.1'!$E$18:$L$28</definedName>
    <definedName name="T17.1?axis?C?НП?" localSheetId="15">#REF!</definedName>
    <definedName name="T17.1?axis?C?НП?" localSheetId="21">#REF!</definedName>
    <definedName name="T17.1?axis?C?НП?" localSheetId="46">#REF!</definedName>
    <definedName name="T17.1?axis?C?НП?" localSheetId="47">#REF!</definedName>
    <definedName name="T17.1?axis?C?НП?" localSheetId="7">#REF!</definedName>
    <definedName name="T17.1?axis?C?НП?">#REF!</definedName>
    <definedName name="T17.1?Data">'[3]17.1'!$E$6:$L$16, '[3]17.1'!$N$6:$N$16, '[3]17.1'!$E$18:$L$28, '[3]17.1'!$N$18:$N$28</definedName>
    <definedName name="T17.1?item_ext?ВСЕГО">'[3]17.1'!$N$6:$N$16, '[3]17.1'!$N$18:$N$28</definedName>
    <definedName name="T17.1?L1">'[3]17.1'!$A$6:$N$6, '[3]17.1'!$A$18:$N$18</definedName>
    <definedName name="T17.1?L2">'[3]17.1'!$A$7:$N$7, '[3]17.1'!$A$19:$N$19</definedName>
    <definedName name="T17.1?L3">'[3]17.1'!$A$8:$N$8, '[3]17.1'!$A$20:$N$20</definedName>
    <definedName name="T17.1?L3.1">'[3]17.1'!$A$9:$N$9, '[3]17.1'!$A$21:$N$21</definedName>
    <definedName name="T17.1?L4">'[3]17.1'!$A$10:$N$10, '[3]17.1'!$A$22:$N$22</definedName>
    <definedName name="T17.1?L4.1">'[3]17.1'!$A$11:$N$11, '[3]17.1'!$A$23:$N$23</definedName>
    <definedName name="T17.1?L5">'[3]17.1'!$A$12:$N$12, '[3]17.1'!$A$24:$N$24</definedName>
    <definedName name="T17.1?L5.1">'[3]17.1'!$A$13:$N$13, '[3]17.1'!$A$25:$N$25</definedName>
    <definedName name="T17.1?L6">'[3]17.1'!$A$14:$N$14, '[3]17.1'!$A$26:$N$26</definedName>
    <definedName name="T17.1?L7">'[3]17.1'!$A$15:$N$15, '[3]17.1'!$A$27:$N$27</definedName>
    <definedName name="T17.1?L8">'[3]17.1'!$A$16:$N$16, '[3]17.1'!$A$28:$N$28</definedName>
    <definedName name="T17.1?Name" localSheetId="15">#REF!</definedName>
    <definedName name="T17.1?Name" localSheetId="21">#REF!</definedName>
    <definedName name="T17.1?Name" localSheetId="46">#REF!</definedName>
    <definedName name="T17.1?Name" localSheetId="47">#REF!</definedName>
    <definedName name="T17.1?Name" localSheetId="7">#REF!</definedName>
    <definedName name="T17.1?Name">#REF!</definedName>
    <definedName name="T17.1?Table" localSheetId="15">#REF!</definedName>
    <definedName name="T17.1?Table" localSheetId="21">#REF!</definedName>
    <definedName name="T17.1?Table" localSheetId="46">#REF!</definedName>
    <definedName name="T17.1?Table" localSheetId="7">#REF!</definedName>
    <definedName name="T17.1?Table">#REF!</definedName>
    <definedName name="T17.1?Title" localSheetId="15">#REF!</definedName>
    <definedName name="T17.1?Title" localSheetId="21">#REF!</definedName>
    <definedName name="T17.1?Title" localSheetId="46">#REF!</definedName>
    <definedName name="T17.1?Title" localSheetId="7">#REF!</definedName>
    <definedName name="T17.1?Title">#REF!</definedName>
    <definedName name="T17.1?unit?РУБ">'[3]17.1'!$D$9:$N$9, '[3]17.1'!$D$11:$N$11, '[3]17.1'!$D$13:$N$13, '[3]17.1'!$D$21:$N$21, '[3]17.1'!$D$23:$N$23, '[3]17.1'!$D$25:$N$25</definedName>
    <definedName name="T17.1?unit?ТРУБ">'[3]17.1'!$D$8:$N$8, '[3]17.1'!$D$10:$N$10, '[3]17.1'!$D$12:$N$12, '[3]17.1'!$D$14:$N$16, '[3]17.1'!$D$20:$N$20, '[3]17.1'!$D$22:$N$22, '[3]17.1'!$D$24:$N$24, '[3]17.1'!$D$26:$N$28</definedName>
    <definedName name="T17.1?unit?ЧДН">'[3]17.1'!$D$7:$N$7, '[3]17.1'!$D$19:$N$19</definedName>
    <definedName name="T17.1?unit?ЧЕЛ">'[3]17.1'!$D$18:$N$18, '[3]17.1'!$D$6:$N$6</definedName>
    <definedName name="T18_1_Name3">'[27]18.1'!$T$4,'[27]18.1'!$R$4,'[27]18.1'!$P$4,'[27]18.1'!$N$4,'[27]18.1'!$L$4,'[27]18.1'!$J$4,'[27]18.1'!$H$4,'[27]18.1'!$F$4,'[27]18.1'!$V$4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15">'[30]18'!#REF!</definedName>
    <definedName name="T18_Copy1" localSheetId="21">'[30]18'!#REF!</definedName>
    <definedName name="T18_Copy1" localSheetId="46">'[30]18'!#REF!</definedName>
    <definedName name="T18_Copy1" localSheetId="47">'[30]18'!#REF!</definedName>
    <definedName name="T18_Copy1" localSheetId="7">'[30]18'!#REF!</definedName>
    <definedName name="T18_Copy1">'[30]18'!#REF!</definedName>
    <definedName name="T18_Copy2" localSheetId="15">'[30]18'!#REF!</definedName>
    <definedName name="T18_Copy2" localSheetId="21">'[30]18'!#REF!</definedName>
    <definedName name="T18_Copy2" localSheetId="46">'[30]18'!#REF!</definedName>
    <definedName name="T18_Copy2" localSheetId="7">'[30]18'!#REF!</definedName>
    <definedName name="T18_Copy2">'[30]18'!#REF!</definedName>
    <definedName name="T18_Copy3" localSheetId="15">'[30]18'!#REF!</definedName>
    <definedName name="T18_Copy3" localSheetId="21">'[30]18'!#REF!</definedName>
    <definedName name="T18_Copy3" localSheetId="46">'[30]18'!#REF!</definedName>
    <definedName name="T18_Copy3" localSheetId="7">'[30]18'!#REF!</definedName>
    <definedName name="T18_Copy3">'[30]18'!#REF!</definedName>
    <definedName name="T18_Copy4" localSheetId="15">'[30]18'!#REF!</definedName>
    <definedName name="T18_Copy4" localSheetId="21">'[30]18'!#REF!</definedName>
    <definedName name="T18_Copy4" localSheetId="46">'[30]18'!#REF!</definedName>
    <definedName name="T18_Copy4" localSheetId="7">'[30]18'!#REF!</definedName>
    <definedName name="T18_Copy4">'[30]18'!#REF!</definedName>
    <definedName name="T18_Copy5" localSheetId="15">'[30]18'!#REF!</definedName>
    <definedName name="T18_Copy5" localSheetId="21">'[30]18'!#REF!</definedName>
    <definedName name="T18_Copy5" localSheetId="46">'[30]18'!#REF!</definedName>
    <definedName name="T18_Copy5" localSheetId="7">'[30]18'!#REF!</definedName>
    <definedName name="T18_Copy5">'[30]18'!#REF!</definedName>
    <definedName name="T18_Copy6" localSheetId="15">'[30]18'!#REF!</definedName>
    <definedName name="T18_Copy6" localSheetId="21">'[30]18'!#REF!</definedName>
    <definedName name="T18_Copy6" localSheetId="46">'[30]18'!#REF!</definedName>
    <definedName name="T18_Copy6" localSheetId="7">'[30]18'!#REF!</definedName>
    <definedName name="T18_Copy6">'[30]18'!#REF!</definedName>
    <definedName name="T18?axis?ПРД?БАЗ">'[3]18'!$I$6:$J$42,'[3]18'!$F$6:$G$42</definedName>
    <definedName name="T18?axis?ПРД?ПРЕД">'[3]18'!$K$6:$L$42,'[3]18'!$D$6:$E$42</definedName>
    <definedName name="T18?axis?ПФ?ПЛАН">'[3]18'!$I$6:$I$42,'[3]18'!$D$6:$D$42,'[3]18'!$K$6:$K$42,'[3]18'!$F$6:$F$42</definedName>
    <definedName name="T18?axis?ПФ?ФАКТ">'[3]18'!$J$6:$J$42,'[3]18'!$E$6:$E$42,'[3]18'!$L$6:$L$42,'[3]18'!$G$6:$G$42</definedName>
    <definedName name="T18?axis?R?ВРАС">'[27]18'!$C$28:$D$30,'[27]18'!$C$34:$D$35</definedName>
    <definedName name="T18?axis?R?ВРАС?">'[27]18'!$B$28:$B$30,'[27]18'!$B$34:$B$35</definedName>
    <definedName name="T18?axis?R?ДОГОВОР">'[3]18'!$D$14:$L$16,'[3]18'!$D$20:$L$22,'[3]18'!$D$26:$L$28,'[3]18'!$D$32:$L$34,'[3]18'!$D$38:$L$40,'[3]18'!$D$8:$L$10</definedName>
    <definedName name="T18?axis?R?ДОГОВОР?">'[3]18'!$B$14:$B$16,'[3]18'!$B$20:$B$22,'[3]18'!$B$26:$B$28,'[3]18'!$B$32:$B$34,'[3]18'!$B$38:$B$40,'[3]18'!$B$8:$B$10</definedName>
    <definedName name="T18.1?axis?ПРД?БАЗ">'[27]18.1'!$T$8:$T$50,'[27]18.1'!$R$8:$R$50,'[27]18.1'!$P$8:$P$50,'[27]18.1'!$N$8:$N$50,'[27]18.1'!$L$8:$L$50,'[27]18.1'!$J$8:$J$50,'[27]18.1'!$H$8:$H$50,'[27]18.1'!$F$8:$F$50,'[27]18.1'!$C$8:$C$50,'[27]18.1'!$V$8:$V$50</definedName>
    <definedName name="T18.1?axis?ПРД?РЕГ">'[27]18.1'!$U$8:$U$50,'[27]18.1'!$S$8:$S$50,'[27]18.1'!$Q$8:$Q$50,'[27]18.1'!$O$8:$O$50,'[27]18.1'!$M$8:$M$50,'[27]18.1'!$K$8:$K$50,'[27]18.1'!$I$8:$I$50,'[27]18.1'!$G$8:$G$50,'[27]18.1'!$D$8:$D$50,'[27]18.1'!$W$8:$W$50</definedName>
    <definedName name="T18.1?axis?R?ВРАС">'[27]18.1'!$C$28:$W$30,'[27]18.1'!$C$34:$W$35</definedName>
    <definedName name="T18.1?axis?R?ВРАС?">'[27]18.1'!$B$28:$B$30,'[27]18.1'!$B$34:$B$35</definedName>
    <definedName name="T18.1?Data" localSheetId="47">P1_T18.1?Data,P2_T18.1?Data</definedName>
    <definedName name="T18.1?Data">P1_T18.1?Data,P2_T18.1?Data</definedName>
    <definedName name="T18.1?L1">'[27]18.1'!$C$8:$D$8,'[27]18.1'!$F$8:$W$8</definedName>
    <definedName name="T18.1?L10">'[27]18.1'!$C$37:$D$37,'[27]18.1'!$F$37:$W$37</definedName>
    <definedName name="T18.1?L11">'[27]18.1'!$C$38:$D$38,'[27]18.1'!$F$38:$W$38</definedName>
    <definedName name="T18.1?L12">'[27]18.1'!$C$39:$D$39,'[27]18.1'!$F$39:$W$39</definedName>
    <definedName name="T18.1?L13">'[27]18.1'!$C$40:$D$40,'[27]18.1'!$F$40:$W$40</definedName>
    <definedName name="T18.1?L14">'[27]18.1'!$C$41:$D$41,'[27]18.1'!$F$41:$W$41</definedName>
    <definedName name="T18.1?L15">'[27]18.1'!$C$42:$D$42,'[27]18.1'!$F$42:$W$42</definedName>
    <definedName name="T18.1?L15.1">'[27]18.1'!$C$44:$D$44,'[27]18.1'!$F$44:$W$44</definedName>
    <definedName name="T18.1?L15.1.1">'[27]18.1'!$C$46:$D$46,'[27]18.1'!$F$46:$W$46</definedName>
    <definedName name="T18.1?L15.1.2">'[27]18.1'!$C$47:$D$47,'[27]18.1'!$F$47:$W$47</definedName>
    <definedName name="T18.1?L16">'[27]18.1'!$C$48:$D$48,'[27]18.1'!$F$48:$W$48</definedName>
    <definedName name="T18.1?L16.1">'[27]18.1'!$C$50:$D$50,'[27]18.1'!$F$50:$W$50</definedName>
    <definedName name="T18.1?L2">'[27]18.1'!$C$9:$D$9,'[27]18.1'!$F$9:$W$9</definedName>
    <definedName name="T18.1?L3">'[27]18.1'!$C$10:$D$10,'[27]18.1'!$F$10:$W$10</definedName>
    <definedName name="T18.1?L4">'[27]18.1'!$C$11:$D$11,'[27]18.1'!$F$11:$W$11</definedName>
    <definedName name="T18.1?L5">'[27]18.1'!$C$12:$D$12,'[27]18.1'!$F$12:$W$12</definedName>
    <definedName name="T18.1?L6">'[27]18.1'!$C$13:$D$13,'[27]18.1'!$F$13:$W$13</definedName>
    <definedName name="T18.1?L6.1">'[27]18.1'!$C$15:$D$15,'[27]18.1'!$F$15:$W$15</definedName>
    <definedName name="T18.1?L6.2">'[27]18.1'!$C$16:$D$16,'[27]18.1'!$F$16:$W$16</definedName>
    <definedName name="T18.1?L6.3">'[27]18.1'!$C$17:$D$17,'[27]18.1'!$F$17:$W$17</definedName>
    <definedName name="T18.1?L7">'[27]18.1'!$C$18:$D$18,'[27]18.1'!$F$18:$W$18</definedName>
    <definedName name="T18.1?L8">'[27]18.1'!$C$19:$D$19,'[27]18.1'!$F$19:$W$19</definedName>
    <definedName name="T18.1?L9">'[27]18.1'!$C$20:$D$20,'[27]18.1'!$F$20:$W$20</definedName>
    <definedName name="T18.1?L9.1">'[27]18.1'!$C$22:$D$22,'[27]18.1'!$F$22:$W$22</definedName>
    <definedName name="T18.1?L9.2">'[27]18.1'!$C$23:$D$23,'[27]18.1'!$F$23:$W$23</definedName>
    <definedName name="T18.1?L9.3">'[27]18.1'!$C$24:$D$24,'[27]18.1'!$F$24:$W$24</definedName>
    <definedName name="T18.1?L9.4">'[27]18.1'!$C$25:$D$25,'[27]18.1'!$F$25:$W$25</definedName>
    <definedName name="T18.1?L9.5">'[27]18.1'!$C$26:$D$26,'[27]18.1'!$F$26:$W$26</definedName>
    <definedName name="T18.1?L9.5.x">'[27]18.1'!$C$28:$D$30,'[27]18.1'!$F$28:$W$30</definedName>
    <definedName name="T18.1?L9.6">'[27]18.1'!$C$32:$D$32,'[27]18.1'!$F$32:$W$32</definedName>
    <definedName name="T18.1?L9.6.x">'[27]18.1'!$C$34:$D$35,'[27]18.1'!$F$34:$W$35</definedName>
    <definedName name="T18.2_Protect" localSheetId="15">'[11]18.2'!$F$75:$J$76,'[11]18.2'!$F$79:$J$79,'[11]18.2'!$F$81:$J$84,'[11]18.2'!$F$6:$J$8,P1_T18.2_Protect</definedName>
    <definedName name="T18.2_Protect" localSheetId="21">'[11]18.2'!$F$75:$J$76,'[11]18.2'!$F$79:$J$79,'[11]18.2'!$F$81:$J$84,'[11]18.2'!$F$6:$J$8,P1_T18.2_Protect</definedName>
    <definedName name="T18.2_Protect" localSheetId="46">'[11]18.2'!$F$75:$J$76,'[11]18.2'!$F$79:$J$79,'[11]18.2'!$F$81:$J$84,'[11]18.2'!$F$6:$J$8,P1_T18.2_Protect</definedName>
    <definedName name="T18.2_Protect" localSheetId="47">'[11]18.2'!$F$75:$J$76,'[11]18.2'!$F$79:$J$79,'[11]18.2'!$F$81:$J$84,'[11]18.2'!$F$6:$J$8,P1_T18.2_Protect</definedName>
    <definedName name="T18.2_Protect" localSheetId="7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.2?ВРАС">'[11]18.2'!$B$53:$B$55,'[11]18.2'!$B$28:$B$40</definedName>
    <definedName name="T18.2?axis?R?ВРАС">'[27]18.2'!$C$31:$F$33,'[27]18.2'!$C$37:$F$38</definedName>
    <definedName name="T18.2?axis?R?ВРАС?">'[27]18.2'!$B$31:$B$33,'[27]18.2'!$B$37:$B$38</definedName>
    <definedName name="T18.2?axis?R?НАП">'[27]18.2'!$C$44:$F$47,'[27]18.2'!$C$15:$F$18</definedName>
    <definedName name="T18.2?axis?R?НАП?">'[27]18.2'!$B$15:$B$18,'[27]18.2'!$B$44:$B$47</definedName>
    <definedName name="T18.2?Data">'[27]18.2'!$C$52:$F$53,'[27]18.2'!$C$9:$F$12,'[27]18.2'!$C$14:$F$23,'[27]18.2'!$C$25:$F$29,'[27]18.2'!$C$31:$F$33,'[27]18.2'!$C$35:$F$35,'[27]18.2'!$C$37:$F$38,'[27]18.2'!$C$40:$F$42,'[27]18.2'!$C$44:$F$50</definedName>
    <definedName name="T18.2?item_ext?ВСЕГО">'[27]18.2'!$C$9:$C$53,'[27]18.2'!$E$9:$E$53</definedName>
    <definedName name="T18.2?item_ext?СБЫТ">'[27]18.2'!$D$9:$D$53,'[27]18.2'!$F$9:$F$53</definedName>
    <definedName name="T19_1_1_Name3">'[27]19.1.1'!$P$4,'[27]19.1.1'!$N$4,'[27]19.1.1'!$L$4,'[27]19.1.1'!$J$4,'[27]19.1.1'!$H$4,'[27]19.1.1'!$F$4,'[27]19.1.1'!$R$4</definedName>
    <definedName name="T19_1_2_Name3">'[27]19.1.2'!$J$4,'[27]19.1.2'!$H$4,'[27]19.1.2'!$F$4,'[27]19.1.2'!$L$4</definedName>
    <definedName name="T19_2_Name3">'[27]19.2'!$P$4,'[27]19.2'!$L$4,'[27]19.2'!$H$4,'[27]19.2'!$T$4</definedName>
    <definedName name="T19_Copy" localSheetId="15">'[30]19'!#REF!</definedName>
    <definedName name="T19_Copy" localSheetId="21">'[30]19'!#REF!</definedName>
    <definedName name="T19_Copy" localSheetId="46">'[30]19'!#REF!</definedName>
    <definedName name="T19_Copy" localSheetId="47">'[30]19'!#REF!</definedName>
    <definedName name="T19_Copy" localSheetId="7">'[30]19'!#REF!</definedName>
    <definedName name="T19_Copy">'[30]19'!#REF!</definedName>
    <definedName name="T19_Copy2" localSheetId="15">'[30]19'!#REF!</definedName>
    <definedName name="T19_Copy2" localSheetId="21">'[30]19'!#REF!</definedName>
    <definedName name="T19_Copy2" localSheetId="46">'[30]19'!#REF!</definedName>
    <definedName name="T19_Copy2" localSheetId="7">'[30]19'!#REF!</definedName>
    <definedName name="T19_Copy2">'[30]19'!#REF!</definedName>
    <definedName name="T19_Protection">'[24]19'!$E$13:$H$13,'[24]19'!$E$15:$H$15,'[24]19'!$J$8:$M$11,'[24]19'!$J$13:$M$13,'[24]19'!$J$15:$M$15,'[24]19'!$E$4:$H$4,'[24]19'!$J$4:$M$4,'[24]19'!$E$8:$H$11</definedName>
    <definedName name="T19?axis?ПРД?БАЗ">'[3]19'!$J$6:$K$30,'[3]19'!$G$6:$H$30</definedName>
    <definedName name="T19?axis?ПРД?ПРЕД">'[3]19'!$L$6:$M$30,'[3]19'!$E$6:$F$30</definedName>
    <definedName name="T19?axis?ПФ?ПЛАН">'[3]19'!$J$6:$J$30,'[3]19'!$E$6:$E$30,'[3]19'!$L$6:$L$30,'[3]19'!$G$6:$G$30</definedName>
    <definedName name="T19?axis?ПФ?ФАКТ">'[3]19'!$K$6:$K$30,'[3]19'!$F$6:$F$30,'[3]19'!$M$6:$M$30,'[3]19'!$H$6:$H$30</definedName>
    <definedName name="T19?axis?R?ВРАС?" localSheetId="15">'[30]19'!#REF!</definedName>
    <definedName name="T19?axis?R?ВРАС?" localSheetId="21">'[30]19'!#REF!</definedName>
    <definedName name="T19?axis?R?ВРАС?" localSheetId="46">'[30]19'!#REF!</definedName>
    <definedName name="T19?axis?R?ВРАС?" localSheetId="47">'[30]19'!#REF!</definedName>
    <definedName name="T19?axis?R?ВРАС?" localSheetId="7">'[30]19'!#REF!</definedName>
    <definedName name="T19?axis?R?ВРАС?">'[30]19'!#REF!</definedName>
    <definedName name="T19?axis?R?ДОГОВОР">'[3]19'!$E$8:$M$9,'[3]19'!$E$13:$M$14,'[3]19'!$E$18:$M$18,'[3]19'!$E$26:$M$27,'[3]19'!$E$22:$M$22</definedName>
    <definedName name="T19?axis?R?ДОГОВОР?">'[3]19'!$A$8:$A$9,'[3]19'!$A$13:$A$14,'[3]19'!$A$18,'[3]19'!$A$26:$A$27,'[3]19'!$A$22</definedName>
    <definedName name="T19?Data">'[24]19'!$J$8:$M$16,'[24]19'!$C$8:$H$16</definedName>
    <definedName name="T19?L1">'[3]19'!$A$16:$M$16, '[3]19'!$A$11:$M$11, '[3]19'!$A$6:$M$6, '[3]19'!$A$20:$M$20, '[3]19'!$A$24:$M$24</definedName>
    <definedName name="T19?L1.x">'[3]19'!$A$18:$M$18, '[3]19'!$A$13:$M$14, '[3]19'!$A$8:$M$9, '[3]19'!$A$22:$M$22, '[3]19'!$A$26:$M$27</definedName>
    <definedName name="T19.1.1?axis?ПРД?БАЗ">'[27]19.1.1'!$P$9:$P$47,'[27]19.1.1'!$N$9:$N$47,'[27]19.1.1'!$L$9:$L$47,'[27]19.1.1'!$J$9:$J$47,'[27]19.1.1'!$H$9:$H$47,'[27]19.1.1'!$F$9:$F$47,'[27]19.1.1'!$C$9:$C$47,'[27]19.1.1'!$R$9:$R$47</definedName>
    <definedName name="T19.1.1?axis?ПРД?РЕГ">'[27]19.1.1'!$Q$9:$Q$47,'[27]19.1.1'!$O$9:$O$47,'[27]19.1.1'!$M$9:$M$47,'[27]19.1.1'!$K$9:$K$47,'[27]19.1.1'!$I$9:$I$47,'[27]19.1.1'!$G$9:$G$47,'[27]19.1.1'!$D$9:$D$47,'[27]19.1.1'!$S$9:$S$47</definedName>
    <definedName name="T19.1.1?axis?R?ВРАС">'[27]19.1.1'!$C$29:$S$31,'[27]19.1.1'!$C$35:$S$36</definedName>
    <definedName name="T19.1.1?axis?R?ВРАС?">'[27]19.1.1'!$B$29:$B$31,'[27]19.1.1'!$B$35:$B$36</definedName>
    <definedName name="T19.1.1?Data" localSheetId="47">P1_T19.1.1?Data,P2_T19.1.1?Data</definedName>
    <definedName name="T19.1.1?Data">P1_T19.1.1?Data,P2_T19.1.1?Data</definedName>
    <definedName name="T19.1.1?L1">'[27]19.1.1'!$C$9:$D$9,'[27]19.1.1'!$F$9:$S$9</definedName>
    <definedName name="T19.1.1?L10">'[27]19.1.1'!$C$38:$D$38,'[27]19.1.1'!$F$38:$S$38</definedName>
    <definedName name="T19.1.1?L11">'[27]19.1.1'!$C$39:$D$39,'[27]19.1.1'!$F$39:$S$39</definedName>
    <definedName name="T19.1.1?L12">'[27]19.1.1'!$C$40:$D$40,'[27]19.1.1'!$F$40:$S$40</definedName>
    <definedName name="T19.1.1?L13">'[27]19.1.1'!$C$41:$D$41,'[27]19.1.1'!$F$41:$S$41</definedName>
    <definedName name="T19.1.1?L14">'[27]19.1.1'!$C$42:$D$42,'[27]19.1.1'!$F$42:$S$42</definedName>
    <definedName name="T19.1.1?L14.1">'[27]19.1.1'!$C$44:$D$44,'[27]19.1.1'!$F$44:$S$44</definedName>
    <definedName name="T19.1.1?L15">'[27]19.1.1'!$C$45:$D$45,'[27]19.1.1'!$F$45:$S$45</definedName>
    <definedName name="T19.1.1?L15.1">'[27]19.1.1'!$C$47:$D$47,'[27]19.1.1'!$F$47:$S$47</definedName>
    <definedName name="T19.1.1?L2">'[27]19.1.1'!$C$10:$D$10,'[27]19.1.1'!$F$10:$S$10</definedName>
    <definedName name="T19.1.1?L3">'[27]19.1.1'!$C$11:$D$11,'[27]19.1.1'!$F$11:$S$11</definedName>
    <definedName name="T19.1.1?L4">'[27]19.1.1'!$C$12:$D$12,'[27]19.1.1'!$F$12:$S$12</definedName>
    <definedName name="T19.1.1?L5">'[27]19.1.1'!$C$13:$D$13,'[27]19.1.1'!$F$13:$S$13</definedName>
    <definedName name="T19.1.1?L6">'[27]19.1.1'!$C$14:$D$14,'[27]19.1.1'!$F$14:$S$14</definedName>
    <definedName name="T19.1.1?L6.1">'[27]19.1.1'!$C$16:$D$16,'[27]19.1.1'!$F$16:$S$16</definedName>
    <definedName name="T19.1.1?L6.2">'[27]19.1.1'!$C$17:$D$17,'[27]19.1.1'!$F$17:$S$17</definedName>
    <definedName name="T19.1.1?L6.3">'[27]19.1.1'!$C$18:$D$18,'[27]19.1.1'!$F$18:$S$18</definedName>
    <definedName name="T19.1.1?L7">'[27]19.1.1'!$C$19:$D$19,'[27]19.1.1'!$F$19:$S$19</definedName>
    <definedName name="T19.1.1?L8">'[27]19.1.1'!$C$20:$D$20,'[27]19.1.1'!$F$20:$S$20</definedName>
    <definedName name="T19.1.1?L9">'[27]19.1.1'!$C$21:$D$21,'[27]19.1.1'!$F$21:$S$21</definedName>
    <definedName name="T19.1.1?L9.1">'[27]19.1.1'!$C$23:$D$23,'[27]19.1.1'!$F$23:$S$23</definedName>
    <definedName name="T19.1.1?L9.2">'[27]19.1.1'!$C$24:$D$24,'[27]19.1.1'!$F$24:$S$24</definedName>
    <definedName name="T19.1.1?L9.3">'[27]19.1.1'!$C$25:$D$25,'[27]19.1.1'!$F$25:$S$25</definedName>
    <definedName name="T19.1.1?L9.4">'[27]19.1.1'!$C$26:$D$26,'[27]19.1.1'!$F$26:$S$26</definedName>
    <definedName name="T19.1.1?L9.5">'[27]19.1.1'!$C$27:$D$27,'[27]19.1.1'!$F$27:$S$27</definedName>
    <definedName name="T19.1.1?L9.5.x">'[27]19.1.1'!$C$29:$D$31,'[27]19.1.1'!$F$29:$S$31</definedName>
    <definedName name="T19.1.1?L9.6">'[27]19.1.1'!$C$33:$D$33,'[27]19.1.1'!$F$33:$S$33</definedName>
    <definedName name="T19.1.1?L9.6.x">'[27]19.1.1'!$C$35:$D$36,'[27]19.1.1'!$F$35:$S$36</definedName>
    <definedName name="T19.1.2?axis?ПРД?БАЗ">'[27]19.1.2'!$J$9:$J$47,'[27]19.1.2'!$H$9:$H$47,'[27]19.1.2'!$F$9:$F$47,'[27]19.1.2'!$C$9:$C$47,'[27]19.1.2'!$L$9:$L$47</definedName>
    <definedName name="T19.1.2?axis?ПРД?РЕГ">'[27]19.1.2'!$K$9:$K$47,'[27]19.1.2'!$I$9:$I$47,'[27]19.1.2'!$G$9:$G$47,'[27]19.1.2'!$D$9:$D$47,'[27]19.1.2'!$M$9:$M$47</definedName>
    <definedName name="T19.1.2?axis?R?ВРАС">'[27]19.1.2'!$C$29:$M$31,'[27]19.1.2'!$C$35:$M$36</definedName>
    <definedName name="T19.1.2?axis?R?ВРАС?">'[27]19.1.2'!$B$29:$B$31,'[27]19.1.2'!$B$35:$B$36</definedName>
    <definedName name="T19.1.2?Data" localSheetId="47">P1_T19.1.2?Data,P2_T19.1.2?Data</definedName>
    <definedName name="T19.1.2?Data">P1_T19.1.2?Data,P2_T19.1.2?Data</definedName>
    <definedName name="T19.1.2?L1">'[27]19.1.2'!$C$9:$D$9,'[27]19.1.2'!$F$9:$M$9</definedName>
    <definedName name="T19.1.2?L10">'[27]19.1.2'!$C$38:$D$38,'[27]19.1.2'!$F$38:$M$38</definedName>
    <definedName name="T19.1.2?L11">'[27]19.1.2'!$C$39:$D$39,'[27]19.1.2'!$F$39:$M$39</definedName>
    <definedName name="T19.1.2?L12">'[27]19.1.2'!$C$40:$D$40,'[27]19.1.2'!$F$40:$M$40</definedName>
    <definedName name="T19.1.2?L13">'[27]19.1.2'!$C$41:$D$41,'[27]19.1.2'!$F$41:$M$41</definedName>
    <definedName name="T19.1.2?L14">'[27]19.1.2'!$C$42:$D$42,'[27]19.1.2'!$F$42:$M$42</definedName>
    <definedName name="T19.1.2?L14.1">'[27]19.1.2'!$C$44:$D$44,'[27]19.1.2'!$F$44:$M$44</definedName>
    <definedName name="T19.1.2?L15">'[27]19.1.2'!$C$45:$D$45,'[27]19.1.2'!$F$45:$M$45</definedName>
    <definedName name="T19.1.2?L15.1">'[27]19.1.2'!$C$47:$D$47,'[27]19.1.2'!$F$47:$M$47</definedName>
    <definedName name="T19.1.2?L2">'[27]19.1.2'!$C$10:$D$10,'[27]19.1.2'!$F$10:$M$10</definedName>
    <definedName name="T19.1.2?L3">'[27]19.1.2'!$C$11:$D$11,'[27]19.1.2'!$F$11:$M$11</definedName>
    <definedName name="T19.1.2?L4">'[27]19.1.2'!$C$12:$D$12,'[27]19.1.2'!$F$12:$M$12</definedName>
    <definedName name="T19.1.2?L5">'[27]19.1.2'!$C$13:$D$13,'[27]19.1.2'!$F$13:$M$13</definedName>
    <definedName name="T19.1.2?L6">'[27]19.1.2'!$C$14:$D$14,'[27]19.1.2'!$F$14:$M$14</definedName>
    <definedName name="T19.1.2?L6.1">'[27]19.1.2'!$C$16:$D$16,'[27]19.1.2'!$F$16:$M$16</definedName>
    <definedName name="T19.1.2?L6.2">'[27]19.1.2'!$C$17:$D$17,'[27]19.1.2'!$F$17:$M$17</definedName>
    <definedName name="T19.1.2?L6.3">'[27]19.1.2'!$C$18:$D$18,'[27]19.1.2'!$F$18:$M$18</definedName>
    <definedName name="T19.1.2?L7">'[27]19.1.2'!$C$19:$D$19,'[27]19.1.2'!$F$19:$M$19</definedName>
    <definedName name="T19.1.2?L8">'[27]19.1.2'!$C$20:$D$20,'[27]19.1.2'!$F$20:$M$20</definedName>
    <definedName name="T19.1.2?L9">'[27]19.1.2'!$C$21:$D$21,'[27]19.1.2'!$F$21:$M$21</definedName>
    <definedName name="T19.1.2?L9.1">'[27]19.1.2'!$C$23:$D$23,'[27]19.1.2'!$F$23:$M$23</definedName>
    <definedName name="T19.1.2?L9.2">'[27]19.1.2'!$C$24:$D$24,'[27]19.1.2'!$F$24:$M$24</definedName>
    <definedName name="T19.1.2?L9.3">'[27]19.1.2'!$C$25:$D$25,'[27]19.1.2'!$F$25:$M$25</definedName>
    <definedName name="T19.1.2?L9.4">'[27]19.1.2'!$C$26:$D$26,'[27]19.1.2'!$F$26:$M$26</definedName>
    <definedName name="T19.1.2?L9.5">'[27]19.1.2'!$C$27:$D$27,'[27]19.1.2'!$F$27:$M$27</definedName>
    <definedName name="T19.1.2?L9.5.x">'[27]19.1.2'!$C$29:$D$31,'[27]19.1.2'!$F$29:$M$31</definedName>
    <definedName name="T19.1.2?L9.6">'[27]19.1.2'!$C$33:$D$33,'[27]19.1.2'!$F$33:$M$33</definedName>
    <definedName name="T19.1.2?L9.6.x">'[27]19.1.2'!$C$35:$D$36,'[27]19.1.2'!$F$35:$M$36</definedName>
    <definedName name="T19.2?axis?ПРД?БАЗ">'[27]19.2'!$H$10:$I$52,'[27]19.2'!$L$10:$M$52,'[27]19.2'!$P$10:$Q$52,'[27]19.2'!$T$10:$U$52,'[27]19.2'!$C$10:$D$52</definedName>
    <definedName name="T19.2?axis?ПРД?РЕГ">'[27]19.2'!$R$10:$S$52,'[27]19.2'!$N$10:$O$52,'[27]19.2'!$J$10:$K$52,'[27]19.2'!$E$10:$F$52,'[27]19.2'!$V$10:$W$52</definedName>
    <definedName name="T19.2?axis?R?ВРАС">'[27]19.2'!$C$33:$W$35,'[27]19.2'!$C$39:$W$40</definedName>
    <definedName name="T19.2?axis?R?ВРАС?">'[27]19.2'!$B$33:$B$35,'[27]19.2'!$B$39:$B$40</definedName>
    <definedName name="T19.2?Data" localSheetId="47">P1_T19.2?Data,P2_T19.2?Data</definedName>
    <definedName name="T19.2?Data">P1_T19.2?Data,P2_T19.2?Data</definedName>
    <definedName name="T19.2?item_ext?СБЫТ">'[27]19.2'!$S$10:$S$49,'[27]19.2'!$Q$10:$Q$49,'[27]19.2'!$O$10:$O$49,'[27]19.2'!$M$10:$M$49,'[27]19.2'!$K$10:$K$49,'[27]19.2'!$I$10:$I$49,'[27]19.2'!$U$10:$U$49,'[27]19.2'!$W$10:$W$49,'[27]19.2'!$D$10:$D$49,'[27]19.2'!$F$10:$F$49</definedName>
    <definedName name="T19.2?L1">'[27]19.2'!$C$10:$F$10,'[27]19.2'!$H$10:$W$10</definedName>
    <definedName name="T19.2?L1.1">'[27]19.2'!$C$12:$F$12,'[27]19.2'!$H$12:$W$12</definedName>
    <definedName name="T19.2?L1.2">'[27]19.2'!$C$13:$F$13,'[27]19.2'!$H$13:$W$13</definedName>
    <definedName name="T19.2?L1.3">'[27]19.2'!$C$14:$F$14,'[27]19.2'!$H$14:$W$14</definedName>
    <definedName name="T19.2?L10">'[27]19.2'!$C$43:$F$43,'[27]19.2'!$H$43:$W$43</definedName>
    <definedName name="T19.2?L11">'[27]19.2'!$C$44:$F$44,'[27]19.2'!$H$44:$W$44</definedName>
    <definedName name="T19.2?L12">'[27]19.2'!$C$45:$F$45,'[27]19.2'!$H$45:$W$45</definedName>
    <definedName name="T19.2?L13">'[27]19.2'!$C$46:$F$46,'[27]19.2'!$H$46:$W$46</definedName>
    <definedName name="T19.2?L14">'[27]19.2'!$C$47:$F$47,'[27]19.2'!$H$47:$W$47</definedName>
    <definedName name="T19.2?L14.1">'[27]19.2'!$C$49:$F$49,'[27]19.2'!$H$49:$W$49</definedName>
    <definedName name="T19.2?L2">'[27]19.2'!$C$15:$F$15,'[27]19.2'!$H$15:$W$15</definedName>
    <definedName name="T19.2?L3">'[27]19.2'!$C$16:$F$16,'[27]19.2'!$H$16:$W$16</definedName>
    <definedName name="T19.2?L4">'[27]19.2'!$C$17:$F$17,'[27]19.2'!$H$17:$W$17</definedName>
    <definedName name="T19.2?L5">'[27]19.2'!$C$18:$F$18,'[27]19.2'!$H$18:$W$18</definedName>
    <definedName name="T19.2?L5.1">'[27]19.2'!$C$20:$F$20,'[27]19.2'!$H$20:$W$20</definedName>
    <definedName name="T19.2?L5.2">'[27]19.2'!$C$21:$F$21,'[27]19.2'!$H$21:$W$21</definedName>
    <definedName name="T19.2?L5.3">'[27]19.2'!$C$22:$F$22,'[27]19.2'!$H$22:$W$22</definedName>
    <definedName name="T19.2?L6">'[27]19.2'!$C$23:$F$23,'[27]19.2'!$H$23:$W$23</definedName>
    <definedName name="T19.2?L7">'[27]19.2'!$C$24:$F$24,'[27]19.2'!$H$24:$W$24</definedName>
    <definedName name="T19.2?L8">'[27]19.2'!$C$25:$F$25,'[27]19.2'!$H$25:$W$25</definedName>
    <definedName name="T19.2?L8.1">'[27]19.2'!$C$27:$F$27,'[27]19.2'!$H$27:$W$27</definedName>
    <definedName name="T19.2?L8.2">'[27]19.2'!$C$28:$F$28,'[27]19.2'!$H$28:$W$28</definedName>
    <definedName name="T19.2?L8.3">'[27]19.2'!$C$29:$F$29,'[27]19.2'!$H$29:$W$29</definedName>
    <definedName name="T19.2?L8.4">'[27]19.2'!$C$30:$F$30,'[27]19.2'!$H$30:$W$30</definedName>
    <definedName name="T19.2?L8.5">'[27]19.2'!$C$31:$F$31,'[27]19.2'!$H$31:$W$31</definedName>
    <definedName name="T19.2?L8.5.x">'[27]19.2'!$C$33:$F$35,'[27]19.2'!$H$33:$W$35</definedName>
    <definedName name="T19.2?L8.6">'[27]19.2'!$C$37:$F$37,'[27]19.2'!$H$37:$W$37</definedName>
    <definedName name="T19.2?L8.6.x">'[27]19.2'!$C$39:$F$40,'[27]19.2'!$H$39:$W$40</definedName>
    <definedName name="T19.2?L9">'[27]19.2'!$C$42:$F$42,'[27]19.2'!$H$42:$W$42</definedName>
    <definedName name="T19.2?unit?ТРУБ">'[27]19.2'!$C$47:$W$52,'[27]19.2'!$C$10:$W$44</definedName>
    <definedName name="T2_Add_Town" localSheetId="15">#REF!</definedName>
    <definedName name="T2_Add_Town" localSheetId="21">#REF!</definedName>
    <definedName name="T2_Add_Town" localSheetId="46">#REF!</definedName>
    <definedName name="T2_Add_Town" localSheetId="47">#REF!</definedName>
    <definedName name="T2_Add_Town" localSheetId="7">#REF!</definedName>
    <definedName name="T2_Add_Town">#REF!</definedName>
    <definedName name="T2_Copy" localSheetId="15">#REF!</definedName>
    <definedName name="T2_Copy" localSheetId="21">#REF!</definedName>
    <definedName name="T2_Copy" localSheetId="46">#REF!</definedName>
    <definedName name="T2_Copy" localSheetId="7">#REF!</definedName>
    <definedName name="T2_Copy">#REF!</definedName>
    <definedName name="T2_DiapProt" localSheetId="15">'[28]2006'!$G$47:$H$47,'[28]2006'!$G$44:$H$44,'[28]2006'!$K$44:$L$44,P1_T2_DiapProt,P2_T2_DiapProt,P3_T2_DiapProt,P4_T2_DiapProt</definedName>
    <definedName name="T2_DiapProt" localSheetId="21">'[28]2006'!$G$47:$H$47,'[28]2006'!$G$44:$H$44,'[28]2006'!$K$44:$L$44,P1_T2_DiapProt,P2_T2_DiapProt,P3_T2_DiapProt,P4_T2_DiapProt</definedName>
    <definedName name="T2_DiapProt" localSheetId="46">'[28]2006'!$G$47:$H$47,'[28]2006'!$G$44:$H$44,'[28]2006'!$K$44:$L$44,P1_T2_DiapProt,P2_T2_DiapProt,P3_T2_DiapProt,P4_T2_DiapProt</definedName>
    <definedName name="T2_DiapProt" localSheetId="47">'[28]2006'!$G$47:$H$47,'[28]2006'!$G$44:$H$44,'[28]2006'!$K$44:$L$44,P1_T2_DiapProt,P2_T2_DiapProt,P3_T2_DiapProt,P4_T2_DiapProt</definedName>
    <definedName name="T2_DiapProt" localSheetId="7">'[28]2006'!$G$47:$H$47,'[28]2006'!$G$44:$H$44,'[28]2006'!$K$44:$L$44,P1_T2_DiapProt,P2_T2_DiapProt,P3_T2_DiapProt,P4_T2_DiapProt</definedName>
    <definedName name="T2_DiapProt">'[28]2006'!$G$47:$H$47,'[28]2006'!$G$44:$H$44,'[28]2006'!$K$44:$L$44,P1_T2_DiapProt,P2_T2_DiapProt,P3_T2_DiapProt,P4_T2_DiapProt</definedName>
    <definedName name="T2_Protect" localSheetId="15">#REF!,#REF!</definedName>
    <definedName name="T2_Protect" localSheetId="21">#REF!,#REF!</definedName>
    <definedName name="T2_Protect" localSheetId="46">#REF!,#REF!</definedName>
    <definedName name="T2_Protect" localSheetId="47">#REF!,#REF!</definedName>
    <definedName name="T2_Protect" localSheetId="7">#REF!,#REF!</definedName>
    <definedName name="T2_Protect">#REF!,#REF!</definedName>
    <definedName name="T2_unpr_all">'[29]2'!$G$13:$L$58,'[29]2'!$N$13:$S$58,'[29]2'!$U$13:$Z$58,'[29]2'!$G$74:$L$119,'[29]2'!$N$74:$S$119,'[29]2'!$U$74:$Z$120,'[29]2'!$Z$119:$Z$120,'[29]2'!$N$134:$S$180,'[29]2'!$U$134:$Z$180,'[29]2'!$N$195:$S$241,'[29]2'!$U$195:$Z$241,'[29]2'!$N$257:$R$268,'[29]2'!$S$257:$S$302,'[29]2'!$N$269:$R$302,'[29]2'!$U$257:$Z$302,'[29]2'!$N$318</definedName>
    <definedName name="T2_Unprotected" localSheetId="15">#REF!,#REF!,#REF!,#REF!,#REF!,#REF!</definedName>
    <definedName name="T2_Unprotected" localSheetId="21">#REF!,#REF!,#REF!,#REF!,#REF!,#REF!</definedName>
    <definedName name="T2_Unprotected" localSheetId="46">#REF!,#REF!,#REF!,#REF!,#REF!,#REF!</definedName>
    <definedName name="T2_Unprotected" localSheetId="47">#REF!,#REF!,#REF!,#REF!,#REF!,#REF!</definedName>
    <definedName name="T2_Unprotected" localSheetId="7">#REF!,#REF!,#REF!,#REF!,#REF!,#REF!</definedName>
    <definedName name="T2_Unprotected">#REF!,#REF!,#REF!,#REF!,#REF!,#REF!</definedName>
    <definedName name="T2?axis?ПРД?БАЗ">'[3]2'!$I$6:$J$19,'[3]2'!$F$6:$G$19</definedName>
    <definedName name="T2?axis?ПРД?ПРЕД">'[3]2'!$K$6:$L$19,'[3]2'!$D$6:$E$19</definedName>
    <definedName name="T2?axis?ПРД?РЕГ" localSheetId="15">#REF!</definedName>
    <definedName name="T2?axis?ПРД?РЕГ" localSheetId="21">#REF!</definedName>
    <definedName name="T2?axis?ПРД?РЕГ" localSheetId="46">#REF!</definedName>
    <definedName name="T2?axis?ПРД?РЕГ" localSheetId="47">#REF!</definedName>
    <definedName name="T2?axis?ПРД?РЕГ" localSheetId="7">#REF!</definedName>
    <definedName name="T2?axis?ПРД?РЕГ">#REF!</definedName>
    <definedName name="T2?axis?ПРД2?2005" localSheetId="15">#REF!,#REF!</definedName>
    <definedName name="T2?axis?ПРД2?2005" localSheetId="21">#REF!,#REF!</definedName>
    <definedName name="T2?axis?ПРД2?2005" localSheetId="46">#REF!,#REF!</definedName>
    <definedName name="T2?axis?ПРД2?2005" localSheetId="47">#REF!,#REF!</definedName>
    <definedName name="T2?axis?ПРД2?2005" localSheetId="7">#REF!,#REF!</definedName>
    <definedName name="T2?axis?ПРД2?2005">#REF!,#REF!</definedName>
    <definedName name="T2?axis?ПРД2?2006" localSheetId="15">#REF!,#REF!</definedName>
    <definedName name="T2?axis?ПРД2?2006" localSheetId="21">#REF!,#REF!</definedName>
    <definedName name="T2?axis?ПРД2?2006" localSheetId="46">#REF!,#REF!</definedName>
    <definedName name="T2?axis?ПРД2?2006" localSheetId="7">#REF!,#REF!</definedName>
    <definedName name="T2?axis?ПРД2?2006">#REF!,#REF!</definedName>
    <definedName name="T2?axis?ПФ?ПЛАН">'[3]2'!$I$6:$I$19,'[3]2'!$D$6:$D$19,'[3]2'!$K$6:$K$19,'[3]2'!$F$6:$F$19</definedName>
    <definedName name="T2?axis?ПФ?ФАКТ">'[3]2'!$J$6:$J$19,'[3]2'!$E$6:$E$19,'[3]2'!$L$6:$L$19,'[3]2'!$G$6:$G$19</definedName>
    <definedName name="T2?axis?C?РЕШ" localSheetId="15">#REF!,#REF!,#REF!,#REF!,#REF!,#REF!</definedName>
    <definedName name="T2?axis?C?РЕШ" localSheetId="21">#REF!,#REF!,#REF!,#REF!,#REF!,#REF!</definedName>
    <definedName name="T2?axis?C?РЕШ" localSheetId="46">#REF!,#REF!,#REF!,#REF!,#REF!,#REF!</definedName>
    <definedName name="T2?axis?C?РЕШ" localSheetId="47">#REF!,#REF!,#REF!,#REF!,#REF!,#REF!</definedName>
    <definedName name="T2?axis?C?РЕШ" localSheetId="7">#REF!,#REF!,#REF!,#REF!,#REF!,#REF!</definedName>
    <definedName name="T2?axis?C?РЕШ">#REF!,#REF!,#REF!,#REF!,#REF!,#REF!</definedName>
    <definedName name="T2?axis?C?РЕШ?" localSheetId="15">#REF!,#REF!</definedName>
    <definedName name="T2?axis?C?РЕШ?" localSheetId="21">#REF!,#REF!</definedName>
    <definedName name="T2?axis?C?РЕШ?" localSheetId="46">#REF!,#REF!</definedName>
    <definedName name="T2?axis?C?РЕШ?" localSheetId="47">#REF!,#REF!</definedName>
    <definedName name="T2?axis?C?РЕШ?" localSheetId="7">#REF!,#REF!</definedName>
    <definedName name="T2?axis?C?РЕШ?">#REF!,#REF!</definedName>
    <definedName name="T2?axis?R?ОРГ" localSheetId="15">#REF!</definedName>
    <definedName name="T2?axis?R?ОРГ" localSheetId="21">#REF!</definedName>
    <definedName name="T2?axis?R?ОРГ" localSheetId="46">#REF!</definedName>
    <definedName name="T2?axis?R?ОРГ" localSheetId="47">#REF!</definedName>
    <definedName name="T2?axis?R?ОРГ" localSheetId="7">#REF!</definedName>
    <definedName name="T2?axis?R?ОРГ">#REF!</definedName>
    <definedName name="T2?axis?R?ОРГ?" localSheetId="15">#REF!</definedName>
    <definedName name="T2?axis?R?ОРГ?" localSheetId="21">#REF!</definedName>
    <definedName name="T2?axis?R?ОРГ?" localSheetId="46">#REF!</definedName>
    <definedName name="T2?axis?R?ОРГ?" localSheetId="7">#REF!</definedName>
    <definedName name="T2?axis?R?ОРГ?">#REF!</definedName>
    <definedName name="T2?Data" localSheetId="15">#REF!</definedName>
    <definedName name="T2?Data" localSheetId="21">#REF!</definedName>
    <definedName name="T2?Data" localSheetId="46">#REF!</definedName>
    <definedName name="T2?Data" localSheetId="7">#REF!</definedName>
    <definedName name="T2?Data">#REF!</definedName>
    <definedName name="T2?item_ext?РОСТ" localSheetId="15">#REF!</definedName>
    <definedName name="T2?item_ext?РОСТ" localSheetId="21">#REF!</definedName>
    <definedName name="T2?item_ext?РОСТ" localSheetId="46">#REF!</definedName>
    <definedName name="T2?item_ext?РОСТ" localSheetId="7">#REF!</definedName>
    <definedName name="T2?item_ext?РОСТ">#REF!</definedName>
    <definedName name="T2?L1" localSheetId="15">#REF!</definedName>
    <definedName name="T2?L1" localSheetId="21">#REF!</definedName>
    <definedName name="T2?L1" localSheetId="46">#REF!</definedName>
    <definedName name="T2?L1" localSheetId="7">#REF!</definedName>
    <definedName name="T2?L1">#REF!</definedName>
    <definedName name="T2?L1.1.1" localSheetId="15">#REF!,#REF!</definedName>
    <definedName name="T2?L1.1.1" localSheetId="21">#REF!,#REF!</definedName>
    <definedName name="T2?L1.1.1" localSheetId="46">#REF!,#REF!</definedName>
    <definedName name="T2?L1.1.1" localSheetId="47">#REF!,#REF!</definedName>
    <definedName name="T2?L1.1.1" localSheetId="7">#REF!,#REF!</definedName>
    <definedName name="T2?L1.1.1">#REF!,#REF!</definedName>
    <definedName name="T2?L1.1.1.1" localSheetId="15">#REF!,#REF!</definedName>
    <definedName name="T2?L1.1.1.1" localSheetId="21">#REF!,#REF!</definedName>
    <definedName name="T2?L1.1.1.1" localSheetId="46">#REF!,#REF!</definedName>
    <definedName name="T2?L1.1.1.1" localSheetId="7">#REF!,#REF!</definedName>
    <definedName name="T2?L1.1.1.1">#REF!,#REF!</definedName>
    <definedName name="T2?L1.1.2" localSheetId="15">#REF!,#REF!</definedName>
    <definedName name="T2?L1.1.2" localSheetId="21">#REF!,#REF!</definedName>
    <definedName name="T2?L1.1.2" localSheetId="46">#REF!,#REF!</definedName>
    <definedName name="T2?L1.1.2" localSheetId="7">#REF!,#REF!</definedName>
    <definedName name="T2?L1.1.2">#REF!,#REF!</definedName>
    <definedName name="T2?L1.1.2.1" localSheetId="15">#REF!,#REF!</definedName>
    <definedName name="T2?L1.1.2.1" localSheetId="21">#REF!,#REF!</definedName>
    <definedName name="T2?L1.1.2.1" localSheetId="46">#REF!,#REF!</definedName>
    <definedName name="T2?L1.1.2.1" localSheetId="7">#REF!,#REF!</definedName>
    <definedName name="T2?L1.1.2.1">#REF!,#REF!</definedName>
    <definedName name="T2?L1.1.3" localSheetId="15">#REF!,#REF!</definedName>
    <definedName name="T2?L1.1.3" localSheetId="21">#REF!,#REF!</definedName>
    <definedName name="T2?L1.1.3" localSheetId="46">#REF!,#REF!</definedName>
    <definedName name="T2?L1.1.3" localSheetId="7">#REF!,#REF!</definedName>
    <definedName name="T2?L1.1.3">#REF!,#REF!</definedName>
    <definedName name="T2?L1.1.3.1" localSheetId="15">#REF!,#REF!</definedName>
    <definedName name="T2?L1.1.3.1" localSheetId="21">#REF!,#REF!</definedName>
    <definedName name="T2?L1.1.3.1" localSheetId="46">#REF!,#REF!</definedName>
    <definedName name="T2?L1.1.3.1" localSheetId="7">#REF!,#REF!</definedName>
    <definedName name="T2?L1.1.3.1">#REF!,#REF!</definedName>
    <definedName name="T2?L1.1.3.10" localSheetId="15">#REF!,#REF!</definedName>
    <definedName name="T2?L1.1.3.10" localSheetId="21">#REF!,#REF!</definedName>
    <definedName name="T2?L1.1.3.10" localSheetId="46">#REF!,#REF!</definedName>
    <definedName name="T2?L1.1.3.10" localSheetId="7">#REF!,#REF!</definedName>
    <definedName name="T2?L1.1.3.10">#REF!,#REF!</definedName>
    <definedName name="T2?L1.1.3.2" localSheetId="15">#REF!,#REF!</definedName>
    <definedName name="T2?L1.1.3.2" localSheetId="21">#REF!,#REF!</definedName>
    <definedName name="T2?L1.1.3.2" localSheetId="46">#REF!,#REF!</definedName>
    <definedName name="T2?L1.1.3.2" localSheetId="7">#REF!,#REF!</definedName>
    <definedName name="T2?L1.1.3.2">#REF!,#REF!</definedName>
    <definedName name="T2?L1.1.3.3" localSheetId="15">#REF!,#REF!</definedName>
    <definedName name="T2?L1.1.3.3" localSheetId="21">#REF!,#REF!</definedName>
    <definedName name="T2?L1.1.3.3" localSheetId="46">#REF!,#REF!</definedName>
    <definedName name="T2?L1.1.3.3" localSheetId="7">#REF!,#REF!</definedName>
    <definedName name="T2?L1.1.3.3">#REF!,#REF!</definedName>
    <definedName name="T2?L1.1.3.4" localSheetId="15">#REF!,#REF!</definedName>
    <definedName name="T2?L1.1.3.4" localSheetId="21">#REF!,#REF!</definedName>
    <definedName name="T2?L1.1.3.4" localSheetId="46">#REF!,#REF!</definedName>
    <definedName name="T2?L1.1.3.4" localSheetId="7">#REF!,#REF!</definedName>
    <definedName name="T2?L1.1.3.4">#REF!,#REF!</definedName>
    <definedName name="T2?L1.1.3.5" localSheetId="15">#REF!,#REF!</definedName>
    <definedName name="T2?L1.1.3.5" localSheetId="21">#REF!,#REF!</definedName>
    <definedName name="T2?L1.1.3.5" localSheetId="46">#REF!,#REF!</definedName>
    <definedName name="T2?L1.1.3.5" localSheetId="7">#REF!,#REF!</definedName>
    <definedName name="T2?L1.1.3.5">#REF!,#REF!</definedName>
    <definedName name="T2?L1.1.3.6" localSheetId="15">#REF!,#REF!</definedName>
    <definedName name="T2?L1.1.3.6" localSheetId="21">#REF!,#REF!</definedName>
    <definedName name="T2?L1.1.3.6" localSheetId="46">#REF!,#REF!</definedName>
    <definedName name="T2?L1.1.3.6" localSheetId="7">#REF!,#REF!</definedName>
    <definedName name="T2?L1.1.3.6">#REF!,#REF!</definedName>
    <definedName name="T2?L1.1.3.7" localSheetId="15">#REF!,#REF!</definedName>
    <definedName name="T2?L1.1.3.7" localSheetId="21">#REF!,#REF!</definedName>
    <definedName name="T2?L1.1.3.7" localSheetId="46">#REF!,#REF!</definedName>
    <definedName name="T2?L1.1.3.7" localSheetId="7">#REF!,#REF!</definedName>
    <definedName name="T2?L1.1.3.7">#REF!,#REF!</definedName>
    <definedName name="T2?L1.1.3.8" localSheetId="15">#REF!,#REF!</definedName>
    <definedName name="T2?L1.1.3.8" localSheetId="21">#REF!,#REF!</definedName>
    <definedName name="T2?L1.1.3.8" localSheetId="46">#REF!,#REF!</definedName>
    <definedName name="T2?L1.1.3.8" localSheetId="7">#REF!,#REF!</definedName>
    <definedName name="T2?L1.1.3.8">#REF!,#REF!</definedName>
    <definedName name="T2?L1.1.3.9" localSheetId="15">#REF!,#REF!</definedName>
    <definedName name="T2?L1.1.3.9" localSheetId="21">#REF!,#REF!</definedName>
    <definedName name="T2?L1.1.3.9" localSheetId="46">#REF!,#REF!</definedName>
    <definedName name="T2?L1.1.3.9" localSheetId="7">#REF!,#REF!</definedName>
    <definedName name="T2?L1.1.3.9">#REF!,#REF!</definedName>
    <definedName name="T2?L2" localSheetId="15">#REF!</definedName>
    <definedName name="T2?L2" localSheetId="21">#REF!</definedName>
    <definedName name="T2?L2" localSheetId="46">#REF!</definedName>
    <definedName name="T2?L2" localSheetId="47">#REF!</definedName>
    <definedName name="T2?L2" localSheetId="7">#REF!</definedName>
    <definedName name="T2?L2">#REF!</definedName>
    <definedName name="T2?L2.1" localSheetId="15">#REF!</definedName>
    <definedName name="T2?L2.1" localSheetId="21">#REF!</definedName>
    <definedName name="T2?L2.1" localSheetId="46">#REF!</definedName>
    <definedName name="T2?L2.1" localSheetId="7">#REF!</definedName>
    <definedName name="T2?L2.1">#REF!</definedName>
    <definedName name="T2?L2.1.ПРЦ" localSheetId="15">#REF!</definedName>
    <definedName name="T2?L2.1.ПРЦ" localSheetId="21">#REF!</definedName>
    <definedName name="T2?L2.1.ПРЦ" localSheetId="46">#REF!</definedName>
    <definedName name="T2?L2.1.ПРЦ" localSheetId="7">#REF!</definedName>
    <definedName name="T2?L2.1.ПРЦ">#REF!</definedName>
    <definedName name="T2?L2.2" localSheetId="15">#REF!</definedName>
    <definedName name="T2?L2.2" localSheetId="21">#REF!</definedName>
    <definedName name="T2?L2.2" localSheetId="46">#REF!</definedName>
    <definedName name="T2?L2.2" localSheetId="7">#REF!</definedName>
    <definedName name="T2?L2.2">#REF!</definedName>
    <definedName name="T2?L2.2.КВТЧ" localSheetId="15">#REF!</definedName>
    <definedName name="T2?L2.2.КВТЧ" localSheetId="21">#REF!</definedName>
    <definedName name="T2?L2.2.КВТЧ" localSheetId="46">#REF!</definedName>
    <definedName name="T2?L2.2.КВТЧ" localSheetId="7">#REF!</definedName>
    <definedName name="T2?L2.2.КВТЧ">#REF!</definedName>
    <definedName name="T2?L3" localSheetId="15">#REF!</definedName>
    <definedName name="T2?L3" localSheetId="21">#REF!</definedName>
    <definedName name="T2?L3" localSheetId="46">#REF!</definedName>
    <definedName name="T2?L3" localSheetId="7">#REF!</definedName>
    <definedName name="T2?L3">#REF!</definedName>
    <definedName name="T2?L4" localSheetId="15">#REF!</definedName>
    <definedName name="T2?L4" localSheetId="21">#REF!</definedName>
    <definedName name="T2?L4" localSheetId="46">#REF!</definedName>
    <definedName name="T2?L4" localSheetId="7">#REF!</definedName>
    <definedName name="T2?L4">#REF!</definedName>
    <definedName name="T2?L4.ПРЦ" localSheetId="15">#REF!</definedName>
    <definedName name="T2?L4.ПРЦ" localSheetId="21">#REF!</definedName>
    <definedName name="T2?L4.ПРЦ" localSheetId="46">#REF!</definedName>
    <definedName name="T2?L4.ПРЦ" localSheetId="7">#REF!</definedName>
    <definedName name="T2?L4.ПРЦ">#REF!</definedName>
    <definedName name="T2?L5" localSheetId="15">#REF!</definedName>
    <definedName name="T2?L5" localSheetId="21">#REF!</definedName>
    <definedName name="T2?L5" localSheetId="46">#REF!</definedName>
    <definedName name="T2?L5" localSheetId="7">#REF!</definedName>
    <definedName name="T2?L5">#REF!</definedName>
    <definedName name="T2?L6" localSheetId="15">#REF!</definedName>
    <definedName name="T2?L6" localSheetId="21">#REF!</definedName>
    <definedName name="T2?L6" localSheetId="46">#REF!</definedName>
    <definedName name="T2?L6" localSheetId="7">#REF!</definedName>
    <definedName name="T2?L6">#REF!</definedName>
    <definedName name="T2?L7" localSheetId="15">#REF!</definedName>
    <definedName name="T2?L7" localSheetId="21">#REF!</definedName>
    <definedName name="T2?L7" localSheetId="46">#REF!</definedName>
    <definedName name="T2?L7" localSheetId="7">#REF!</definedName>
    <definedName name="T2?L7">#REF!</definedName>
    <definedName name="T2?L7.ПРЦ" localSheetId="15">#REF!</definedName>
    <definedName name="T2?L7.ПРЦ" localSheetId="21">#REF!</definedName>
    <definedName name="T2?L7.ПРЦ" localSheetId="46">#REF!</definedName>
    <definedName name="T2?L7.ПРЦ" localSheetId="7">#REF!</definedName>
    <definedName name="T2?L7.ПРЦ">#REF!</definedName>
    <definedName name="T2?L8" localSheetId="15">#REF!</definedName>
    <definedName name="T2?L8" localSheetId="21">#REF!</definedName>
    <definedName name="T2?L8" localSheetId="46">#REF!</definedName>
    <definedName name="T2?L8" localSheetId="7">#REF!</definedName>
    <definedName name="T2?L8">#REF!</definedName>
    <definedName name="T2?Name" localSheetId="15">#REF!</definedName>
    <definedName name="T2?Name" localSheetId="21">#REF!</definedName>
    <definedName name="T2?Name" localSheetId="46">#REF!</definedName>
    <definedName name="T2?Name" localSheetId="7">#REF!</definedName>
    <definedName name="T2?Name">#REF!</definedName>
    <definedName name="T2?Protection" localSheetId="15">'[28]2006'!$K$44:$L$44,'[28]2006'!$O$44:$P$44,'[28]2006'!$K$47:$L$47,P1_T2?Protection,P2_T2?Protection,P3_T2?Protection,P4_T2?Protection</definedName>
    <definedName name="T2?Protection" localSheetId="21">'[28]2006'!$K$44:$L$44,'[28]2006'!$O$44:$P$44,'[28]2006'!$K$47:$L$47,P1_T2?Protection,P2_T2?Protection,P3_T2?Protection,P4_T2?Protection</definedName>
    <definedName name="T2?Protection" localSheetId="46">'[28]2006'!$K$44:$L$44,'[28]2006'!$O$44:$P$44,'[28]2006'!$K$47:$L$47,P1_T2?Protection,P2_T2?Protection,P3_T2?Protection,P4_T2?Protection</definedName>
    <definedName name="T2?Protection" localSheetId="47">'[28]2006'!$K$44:$L$44,'[28]2006'!$O$44:$P$44,'[28]2006'!$K$47:$L$47,P1_T2?Protection,P2_T2?Protection,P3_T2?Protection,P4_T2?Protection</definedName>
    <definedName name="T2?Protection" localSheetId="7">'[28]2006'!$K$44:$L$44,'[28]2006'!$O$44:$P$44,'[28]2006'!$K$47:$L$47,P1_T2?Protection,P2_T2?Protection,P3_T2?Protection,P4_T2?Protection</definedName>
    <definedName name="T2?Protection">'[28]2006'!$K$44:$L$44,'[28]2006'!$O$44:$P$44,'[28]2006'!$K$47:$L$47,P1_T2?Protection,P2_T2?Protection,P3_T2?Protection,P4_T2?Protection</definedName>
    <definedName name="T2?Table" localSheetId="15">#REF!</definedName>
    <definedName name="T2?Table" localSheetId="21">#REF!</definedName>
    <definedName name="T2?Table" localSheetId="46">#REF!</definedName>
    <definedName name="T2?Table" localSheetId="47">#REF!</definedName>
    <definedName name="T2?Table" localSheetId="7">#REF!</definedName>
    <definedName name="T2?Table">#REF!</definedName>
    <definedName name="T2?Title" localSheetId="15">#REF!</definedName>
    <definedName name="T2?Title" localSheetId="21">#REF!</definedName>
    <definedName name="T2?Title" localSheetId="46">#REF!</definedName>
    <definedName name="T2?Title" localSheetId="7">#REF!</definedName>
    <definedName name="T2?Title">#REF!</definedName>
    <definedName name="T2?unit?КВТЧ.ГКАЛ" localSheetId="15">#REF!</definedName>
    <definedName name="T2?unit?КВТЧ.ГКАЛ" localSheetId="21">#REF!</definedName>
    <definedName name="T2?unit?КВТЧ.ГКАЛ" localSheetId="46">#REF!</definedName>
    <definedName name="T2?unit?КВТЧ.ГКАЛ" localSheetId="7">#REF!</definedName>
    <definedName name="T2?unit?КВТЧ.ГКАЛ">#REF!</definedName>
    <definedName name="T2?unit?МКБ" localSheetId="15">#REF!,#REF!,#REF!,#REF!</definedName>
    <definedName name="T2?unit?МКБ" localSheetId="21">#REF!,#REF!,#REF!,#REF!</definedName>
    <definedName name="T2?unit?МКБ" localSheetId="46">#REF!,#REF!,#REF!,#REF!</definedName>
    <definedName name="T2?unit?МКБ" localSheetId="47">#REF!,#REF!,#REF!,#REF!</definedName>
    <definedName name="T2?unit?МКБ" localSheetId="7">#REF!,#REF!,#REF!,#REF!</definedName>
    <definedName name="T2?unit?МКБ">#REF!,#REF!,#REF!,#REF!</definedName>
    <definedName name="T2?unit?МКВТЧ">'[3]2'!$D$6:$H$8,   '[3]2'!$D$10:$H$10,   '[3]2'!$D$12:$H$13,   '[3]2'!$D$15:$H$15</definedName>
    <definedName name="T2?unit?МКУБ" localSheetId="15">#REF!,#REF!,#REF!,#REF!</definedName>
    <definedName name="T2?unit?МКУБ" localSheetId="21">#REF!,#REF!,#REF!,#REF!</definedName>
    <definedName name="T2?unit?МКУБ" localSheetId="46">#REF!,#REF!,#REF!,#REF!</definedName>
    <definedName name="T2?unit?МКУБ" localSheetId="47">#REF!,#REF!,#REF!,#REF!</definedName>
    <definedName name="T2?unit?МКУБ" localSheetId="7">#REF!,#REF!,#REF!,#REF!</definedName>
    <definedName name="T2?unit?МКУБ">#REF!,#REF!,#REF!,#REF!</definedName>
    <definedName name="T2?unit?ПРЦ">'[3]2'!$D$9:$H$9,   '[3]2'!$D$14:$H$14,   '[3]2'!$I$6:$L$19,   '[3]2'!$D$18:$H$18</definedName>
    <definedName name="T2?unit?РУБ.МКБ" localSheetId="15">#REF!,#REF!,#REF!,#REF!</definedName>
    <definedName name="T2?unit?РУБ.МКБ" localSheetId="21">#REF!,#REF!,#REF!,#REF!</definedName>
    <definedName name="T2?unit?РУБ.МКБ" localSheetId="46">#REF!,#REF!,#REF!,#REF!</definedName>
    <definedName name="T2?unit?РУБ.МКБ" localSheetId="47">#REF!,#REF!,#REF!,#REF!</definedName>
    <definedName name="T2?unit?РУБ.МКБ" localSheetId="7">#REF!,#REF!,#REF!,#REF!</definedName>
    <definedName name="T2?unit?РУБ.МКБ">#REF!,#REF!,#REF!,#REF!</definedName>
    <definedName name="T2?unit?ТГКАЛ">'[3]2'!$D$16:$H$17,   '[3]2'!$D$19:$H$19</definedName>
    <definedName name="T2?unit?ТРУБ" localSheetId="15">#REF!,#REF!,#REF!,#REF!</definedName>
    <definedName name="T2?unit?ТРУБ" localSheetId="21">#REF!,#REF!,#REF!,#REF!</definedName>
    <definedName name="T2?unit?ТРУБ" localSheetId="46">#REF!,#REF!,#REF!,#REF!</definedName>
    <definedName name="T2?unit?ТРУБ" localSheetId="47">#REF!,#REF!,#REF!,#REF!</definedName>
    <definedName name="T2?unit?ТРУБ" localSheetId="7">#REF!,#REF!,#REF!,#REF!</definedName>
    <definedName name="T2?unit?ТРУБ">#REF!,#REF!,#REF!,#REF!</definedName>
    <definedName name="T2?unit?ТЫС.МКБ" localSheetId="15">#REF!,#REF!,#REF!,#REF!</definedName>
    <definedName name="T2?unit?ТЫС.МКБ" localSheetId="21">#REF!,#REF!,#REF!,#REF!</definedName>
    <definedName name="T2?unit?ТЫС.МКБ" localSheetId="46">#REF!,#REF!,#REF!,#REF!</definedName>
    <definedName name="T2?unit?ТЫС.МКБ" localSheetId="7">#REF!,#REF!,#REF!,#REF!</definedName>
    <definedName name="T2?unit?ТЫС.МКБ">#REF!,#REF!,#REF!,#REF!</definedName>
    <definedName name="T2.1_DiapProt">'[28]2007 (Min)'!$G$47:$H$47,'[28]2007 (Min)'!$K$44:$L$44,'[28]2007 (Min)'!$K$47:$L$47,'[28]2007 (Min)'!$O$44:$P$44,'[28]2007 (Min)'!$O$47:$P$47</definedName>
    <definedName name="T2.1?axis?R?ПЭ">'[27]2.1'!$C$19:$D$21,'[27]2.1'!$C$35:$D$41,'[27]2.1'!$C$45:$D$47,'[27]2.1'!$C$54:$D$60,'[27]2.1'!$C$64:$D$66,'[27]2.1'!$C$9:$D$15</definedName>
    <definedName name="T2.1?axis?R?ПЭ?">'[27]2.1'!$B$19:$B$21,'[27]2.1'!$B$35:$B$41,'[27]2.1'!$B$45:$B$47,'[27]2.1'!$B$54:$B$60,'[27]2.1'!$B$64:$B$66,'[27]2.1'!$B$9:$B$15</definedName>
    <definedName name="T2.1?Data" localSheetId="47">'[27]2.1'!$C$64:$D$66,'[27]2.1'!$C$9:$D$15,P1_T2.1?Data</definedName>
    <definedName name="T2.1?Data">'[27]2.1'!$C$64:$D$66,'[27]2.1'!$C$9:$D$15,P1_T2.1?Data</definedName>
    <definedName name="T2.1?Protection" localSheetId="15">[0]!P4_T2.1?Protection,[0]!P5_T2.1?Protection,'10-1_К-ция_ПП'!P6_T2.1?Protection</definedName>
    <definedName name="T2.1?Protection" localSheetId="21">[0]!P4_T2.1?Protection,[0]!P5_T2.1?Protection,'15_Пер. Расх_дин'!P6_T2.1?Protection</definedName>
    <definedName name="T2.1?Protection" localSheetId="46">[0]!P4_T2.1?Protection,[0]!P5_T2.1?Protection,'28_Кан-ция'!P6_T2.1?Protection</definedName>
    <definedName name="T2.1?Protection" localSheetId="47">P4_T2.1?Protection,P5_T2.1?Protection,'28-1_Ливневка'!P6_T2.1?Protection</definedName>
    <definedName name="T2.1?Protection" localSheetId="7">[0]!P4_T2.1?Protection,[0]!P5_T2.1?Protection,'5-2_ЦГ'!P6_T2.1?Protection</definedName>
    <definedName name="T2.1?Protection">P4_T2.1?Protection,P5_T2.1?Protection,P6_T2.1?Protection</definedName>
    <definedName name="T2.1?unit?МКВТЧ">'[27]2.1'!$C$28:$D$28,'[27]2.1'!$C$30:$D$30,'[27]2.1'!$C$32:$D$69,'[27]2.1'!$C$6:$D$26</definedName>
    <definedName name="T2.1?unit?ПРЦ">'[27]2.1'!$C$31:$D$31,'[27]2.1'!$C$27:$D$27</definedName>
    <definedName name="T2.2_DiapProt" localSheetId="47">'[28]2007 (Max)'!$G$28,P1_T2.2_DiapProt</definedName>
    <definedName name="T2.2_DiapProt">'[28]2007 (Max)'!$G$28,P1_T2.2_DiapProt</definedName>
    <definedName name="T2.2?Data">'[27]2.2'!$C$10:$D$16,'[27]2.2'!$C$18:$D$21,'[27]2.2'!$C$23:$D$25,'[27]2.2'!$C$6:$D$8</definedName>
    <definedName name="T2.2?Protection" localSheetId="47">P3_T2.2?Protection,P4_T2.2?Protection</definedName>
    <definedName name="T2.2?Protection">P3_T2.2?Protection,P4_T2.2?Protection</definedName>
    <definedName name="T2.2?unit?МКВТЧ">'[27]2.2'!$C$6:$D$16,'[27]2.2'!$C$18:$D$21,'[27]2.2'!$C$23:$D$25</definedName>
    <definedName name="T2.3_Protect">'[11]2.3'!$F$30:$G$34,'[11]2.3'!$H$24:$K$28</definedName>
    <definedName name="T20_Change1">'[11]20'!$L$7,'[11]20'!$L$9:$L$10,'[11]20'!$L$13:$L$20</definedName>
    <definedName name="T20_Copy1" localSheetId="15">'[30]15'!#REF!</definedName>
    <definedName name="T20_Copy1" localSheetId="21">'[30]15'!#REF!</definedName>
    <definedName name="T20_Copy1" localSheetId="46">'[30]15'!#REF!</definedName>
    <definedName name="T20_Copy1" localSheetId="47">'[30]15'!#REF!</definedName>
    <definedName name="T20_Copy1" localSheetId="7">'[30]15'!#REF!</definedName>
    <definedName name="T20_Copy1">'[30]15'!#REF!</definedName>
    <definedName name="T20_Copy2" localSheetId="15">'[30]15'!#REF!</definedName>
    <definedName name="T20_Copy2" localSheetId="21">'[30]15'!#REF!</definedName>
    <definedName name="T20_Copy2" localSheetId="46">'[30]15'!#REF!</definedName>
    <definedName name="T20_Copy2" localSheetId="7">'[30]15'!#REF!</definedName>
    <definedName name="T20_Copy2">'[30]15'!#REF!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 localSheetId="47">'[24]20'!$E$8:$H$11,P1_T20_Protection</definedName>
    <definedName name="T20_Protection">'[24]20'!$E$8:$H$11,P1_T20_Protection</definedName>
    <definedName name="T20?axis?ПРД?БАЗ">'[3]20'!$L$6:$M$42,  '[3]20'!$I$6:$J$42</definedName>
    <definedName name="T20?axis?ПРД?ПРЕД">'[3]20'!$N$6:$O$41,  '[3]20'!$G$6:$H$42</definedName>
    <definedName name="T20?axis?ПФ?ПЛАН">'[3]20'!$L$6:$L$42,  '[3]20'!$G$6:$G$42,  '[3]20'!$N$6:$N$42,  '[3]20'!$I$6:$I$42</definedName>
    <definedName name="T20?axis?ПФ?ФАКТ">'[3]20'!$M$6:$M$42,  '[3]20'!$H$6:$H$42,  '[3]20'!$O$6:$O$42,  '[3]20'!$J$6:$J$42</definedName>
    <definedName name="T20?axis?R?ДОГОВОР">'[3]20'!$G$7:$O$26,       '[3]20'!$G$28:$O$41</definedName>
    <definedName name="T20?axis?R?ДОГОВОР?">'[3]20'!$D$7:$D$26,       '[3]20'!$D$28:$D$41</definedName>
    <definedName name="T20?Data">'[3]20'!$G$6:$O$6,       '[3]20'!$G$8:$O$25,       '[3]20'!$G$27:$O$27,       '[3]20'!$G$29:$O$40,       '[3]20'!$G$42:$O$42</definedName>
    <definedName name="T20?L1.1">'[3]20'!$A$20:$O$20,'[3]20'!$A$17:$O$17,'[3]20'!$A$8:$O$8,'[3]20'!$A$11:$O$11,'[3]20'!$A$14:$O$14,'[3]20'!$A$23:$O$23</definedName>
    <definedName name="T20?L1.2">'[3]20'!$A$21:$O$21,'[3]20'!$A$18:$O$18,'[3]20'!$A$9:$O$9,'[3]20'!$A$12:$O$12,'[3]20'!$A$15:$O$15,'[3]20'!$A$24:$O$24</definedName>
    <definedName name="T20?L1.3">'[3]20'!$A$22:$O$22,'[3]20'!$A$19:$O$19,'[3]20'!$A$10:$O$10,'[3]20'!$A$13:$O$13,'[3]20'!$A$16:$O$16,'[3]20'!$A$25:$O$25</definedName>
    <definedName name="T20?L2.1">'[3]20'!$A$29:$O$29,   '[3]20'!$A$32:$O$32,   '[3]20'!$A$35:$O$35,   '[3]20'!$A$38:$O$38</definedName>
    <definedName name="T20?L2.2">'[3]20'!$A$30:$O$30,   '[3]20'!$A$33:$O$33,   '[3]20'!$A$36:$O$36,   '[3]20'!$A$39:$O$39</definedName>
    <definedName name="T20?L2.3">'[3]20'!$A$31:$O$31,   '[3]20'!$A$34:$O$34,   '[3]20'!$A$37:$O$37,   '[3]20'!$A$40:$O$40</definedName>
    <definedName name="T20?unit?МКВТЧ">'[24]20'!$C$13:$M$13,'[24]20'!$C$15:$M$19,'[24]20'!$C$8:$M$11</definedName>
    <definedName name="T20.1?axis?R?ИФИН">'[27]20.1'!$F$10:$F$13,'[27]20.1'!$F$24:$F$25,'[27]20.1'!$F$37:$F$40,'[27]20.1'!$F$52:$F$54,'[27]20.1'!$F$65:$F$74</definedName>
    <definedName name="T20.1?axis?R?ИФИН?">'[27]20.1'!$G$10:$G$13,'[27]20.1'!$G$24:$G$25,'[27]20.1'!$G$37:$G$40,'[27]20.1'!$G$52:$G$54,'[27]20.1'!$G$65:$G$74</definedName>
    <definedName name="T20.1?axis?R?СТРО">'[27]20.1'!$B$10:$F$13,'[27]20.1'!$B$24:$F$25,'[27]20.1'!$B$37:$F$40,'[27]20.1'!$B$52:$F$54,'[27]20.1'!$B$65:$F$74</definedName>
    <definedName name="T20.1?axis?R?СТРО?">'[27]20.1'!$A$65:$A$74,'[27]20.1'!$A$52:$A$54,'[27]20.1'!$A$37:$A$40,'[27]20.1'!$A$24:$A$25,'[27]20.1'!$A$10:$A$13</definedName>
    <definedName name="T20.1?Data">'[27]20.1'!$B$27:$F$27,'[27]20.1'!$B$42:$F$42,'[27]20.1'!$B$56:$F$56,'[27]20.1'!$B$76:$F$76,'[27]20.1'!$B$15:$F$15,'[27]20.1'!$B$10:$G$13,'[27]20.1'!$B$37:$G$40,'[27]20.1'!$B$52:$G$54,'[27]20.1'!$B$65:$G$74,'[27]20.1'!$B$24:$G$25</definedName>
    <definedName name="T20.1?L2">'[27]20.1'!$B$24:$B$25,'[27]20.1'!$B$27,'[27]20.1'!$B$37:$B$40,'[27]20.1'!$B$42,'[27]20.1'!$B$52:$B$54,'[27]20.1'!$B$56,'[27]20.1'!$B$65:$B$74,'[27]20.1'!$B$76,'[27]20.1'!$B$10:$B$13,'[27]20.1'!$B$15</definedName>
    <definedName name="T20.1?L3">'[27]20.1'!$C$24:$C$25,'[27]20.1'!$C$27,'[27]20.1'!$C$37:$C$40,'[27]20.1'!$C$42,'[27]20.1'!$C$52:$C$54,'[27]20.1'!$C$56,'[27]20.1'!$C$65:$C$74,'[27]20.1'!$C$76,'[27]20.1'!$C$10:$C$13,'[27]20.1'!$C$15</definedName>
    <definedName name="T20.1?L4">'[27]20.1'!$D$24:$D$25,'[27]20.1'!$D$27,'[27]20.1'!$D$37:$D$40,'[27]20.1'!$D$42,'[27]20.1'!$D$52:$D$54,'[27]20.1'!$D$56,'[27]20.1'!$D$65:$D$74,'[27]20.1'!$D$76,'[27]20.1'!$D$10:$D$13,'[27]20.1'!$D$15</definedName>
    <definedName name="T20.1?L5">'[27]20.1'!$E$24:$E$25,'[27]20.1'!$E$27,'[27]20.1'!$E$37:$E$40,'[27]20.1'!$E$42,'[27]20.1'!$E$52:$E$54,'[27]20.1'!$E$56,'[27]20.1'!$E$65:$E$74,'[27]20.1'!$E$76,'[27]20.1'!$E$10:$E$13,'[27]20.1'!$E$15</definedName>
    <definedName name="T20.1?L6">'[27]20.1'!$F$24:$F$25,'[27]20.1'!$F$27,'[27]20.1'!$F$37:$F$40,'[27]20.1'!$F$42,'[27]20.1'!$F$52:$F$54,'[27]20.1'!$F$56,'[27]20.1'!$F$65:$F$74,'[27]20.1'!$F$76,'[27]20.1'!$F$10:$F$13,'[27]20.1'!$F$15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15">'[30]14'!#REF!</definedName>
    <definedName name="T21_Copy" localSheetId="21">'[30]14'!#REF!</definedName>
    <definedName name="T21_Copy" localSheetId="46">'[30]14'!#REF!</definedName>
    <definedName name="T21_Copy" localSheetId="47">'[30]14'!#REF!</definedName>
    <definedName name="T21_Copy" localSheetId="7">'[30]14'!#REF!</definedName>
    <definedName name="T21_Copy">'[30]14'!#REF!</definedName>
    <definedName name="T21_Protection" localSheetId="47">P2_T21_Protection,'28-1_Ливневка'!P3_T21_Protection</definedName>
    <definedName name="T21_Protection">P2_T21_Protection,P3_T21_Protection</definedName>
    <definedName name="T21?axis?ПРД?БАЗ">'[3]21'!$I$6:$J$18,'[3]21'!$F$6:$G$18</definedName>
    <definedName name="T21?axis?ПРД?ПРЕД">'[3]21'!$K$6:$L$18,'[3]21'!$D$6:$E$18</definedName>
    <definedName name="T21?axis?ПФ?ПЛАН">'[3]21'!$I$6:$I$18,'[3]21'!$D$6:$D$18,'[3]21'!$K$6:$K$18,'[3]21'!$F$6:$F$18</definedName>
    <definedName name="T21?axis?ПФ?ФАКТ">'[3]21'!$J$6:$J$18,'[3]21'!$E$6:$E$18,'[3]21'!$L$6:$L$18,'[3]21'!$G$6:$G$18</definedName>
    <definedName name="T21?axis?R?ВРАС">'[30]21'!$E$21:$G$24,'[30]21'!$E$34:$G$35</definedName>
    <definedName name="T21?axis?R?ВРАС?">'[30]21'!$B$21:$B$24,'[30]21'!$B$34:$B$35</definedName>
    <definedName name="T21?axis?R?ПЭ">'[24]21'!$D$14:$S$16,'[24]21'!$D$26:$S$28,'[24]21'!$D$20:$S$22</definedName>
    <definedName name="T21?axis?R?ПЭ?">'[24]21'!$B$14:$B$16,'[24]21'!$B$26:$B$28,'[24]21'!$B$20:$B$22</definedName>
    <definedName name="T21?Data">'[3]21'!$D$6:$L$9, '[3]21'!$D$11:$L$14, '[3]21'!$D$16:$L$18</definedName>
    <definedName name="T21?L1">'[24]21'!$D$11:$S$12,'[24]21'!$D$14:$S$16,'[24]21'!$D$18:$S$18,'[24]21'!$D$20:$S$22,'[24]21'!$D$26:$S$28,'[24]21'!$D$24:$S$24</definedName>
    <definedName name="T21?L8.2" localSheetId="15">'[30]21'!#REF!</definedName>
    <definedName name="T21?L8.2" localSheetId="21">'[30]21'!#REF!</definedName>
    <definedName name="T21?L8.2" localSheetId="46">'[30]21'!#REF!</definedName>
    <definedName name="T21?L8.2" localSheetId="47">'[30]21'!#REF!</definedName>
    <definedName name="T21?L8.2" localSheetId="7">'[30]21'!#REF!</definedName>
    <definedName name="T21?L8.2">'[30]21'!#REF!</definedName>
    <definedName name="T21?L8.3" localSheetId="15">'[30]21'!#REF!</definedName>
    <definedName name="T21?L8.3" localSheetId="21">'[30]21'!#REF!</definedName>
    <definedName name="T21?L8.3" localSheetId="46">'[30]21'!#REF!</definedName>
    <definedName name="T21?L8.3" localSheetId="7">'[30]21'!#REF!</definedName>
    <definedName name="T21?L8.3">'[30]21'!#REF!</definedName>
    <definedName name="T21.1_Name3">'[27]21.1'!$T$4,'[27]21.1'!$R$4,'[27]21.1'!$P$4,'[27]21.1'!$N$4,'[27]21.1'!$L$4,'[27]21.1'!$J$4,'[27]21.1'!$H$4,'[27]21.1'!$F$4,'[27]21.1'!$V$4</definedName>
    <definedName name="T21.1?axis?ПРД?БАЗ">'[27]21.1'!$T$8:$T$37,'[27]21.1'!$R$8:$R$37,'[27]21.1'!$P$8:$P$37,'[27]21.1'!$N$8:$N$37,'[27]21.1'!$L$8:$L$37,'[27]21.1'!$J$8:$J$37,'[27]21.1'!$H$8:$H$37,'[27]21.1'!$F$8:$F$37,'[27]21.1'!$C$8:$C$37,'[27]21.1'!$V$8:$V$37</definedName>
    <definedName name="T21.1?axis?ПРД?РЕГ">'[27]21.1'!$G$8:$G$37,'[27]21.1'!$I$8:$I$37,'[27]21.1'!$K$8:$K$37,'[27]21.1'!$M$8:$M$37,'[27]21.1'!$O$8:$O$37,'[27]21.1'!$Q$8:$Q$37,'[27]21.1'!$S$8:$S$37,'[27]21.1'!$U$8:$U$37,'[27]21.1'!$W$8:$W$37,'[27]21.1'!$D$8:$D$37</definedName>
    <definedName name="T21.1?axis?R?ВРАС">'[27]21.1'!$C$34:$W$35,'[27]21.1'!$C$22:$W$24</definedName>
    <definedName name="T21.1?axis?R?ВРАС?">'[27]21.1'!$B$34:$B$35,'[27]21.1'!$B$22:$B$24</definedName>
    <definedName name="T21.1?Data" localSheetId="47">'[27]21.1'!$C$26:$D$27,'[27]21.1'!$F$29:$W$32,'[27]21.1'!$C$29:$D$32,'[27]21.1'!$F$34:$W$35,'[27]21.1'!$C$34:$D$35,'[27]21.1'!$F$37:$W$37,'[27]21.1'!$C$37:$D$37,'[27]21.1'!$F$8:$W$8,P1_T21.1?Data</definedName>
    <definedName name="T21.1?Data">'[27]21.1'!$C$26:$D$27,'[27]21.1'!$F$29:$W$32,'[27]21.1'!$C$29:$D$32,'[27]21.1'!$F$34:$W$35,'[27]21.1'!$C$34:$D$35,'[27]21.1'!$F$37:$W$37,'[27]21.1'!$C$37:$D$37,'[27]21.1'!$F$8:$W$8,P1_T21.1?Data</definedName>
    <definedName name="T21.1?L1">'[27]21.1'!$F$8:$W$8,'[27]21.1'!$C$8:$D$8</definedName>
    <definedName name="T21.1?L1.1">'[27]21.1'!$F$10:$W$10,'[27]21.1'!$C$10:$D$10</definedName>
    <definedName name="T21.1?L2">'[27]21.1'!$F$11:$W$11,'[27]21.1'!$C$11:$D$11</definedName>
    <definedName name="T21.1?L2.1">'[27]21.1'!$F$13:$W$13,'[27]21.1'!$C$13:$D$13</definedName>
    <definedName name="T21.1?L3">'[27]21.1'!$F$14:$W$14,'[27]21.1'!$C$14:$D$14</definedName>
    <definedName name="T21.1?L4">'[27]21.1'!$F$15:$W$15,'[27]21.1'!$C$15:$D$15</definedName>
    <definedName name="T21.1?L5">'[27]21.1'!$F$16:$W$16,'[27]21.1'!$C$16:$D$16</definedName>
    <definedName name="T21.1?L5.1">'[27]21.1'!$F$18:$W$18,'[27]21.1'!$C$18:$D$18</definedName>
    <definedName name="T21.1?L5.2">'[27]21.1'!$F$19:$W$19,'[27]21.1'!$C$19:$D$19</definedName>
    <definedName name="T21.1?L5.3">'[27]21.1'!$F$20:$W$20,'[27]21.1'!$C$20:$D$20</definedName>
    <definedName name="T21.1?L5.3.x">'[27]21.1'!$F$22:$W$24,'[27]21.1'!$C$22:$D$24</definedName>
    <definedName name="T21.1?L6">'[27]21.1'!$F$26:$W$26,'[27]21.1'!$C$26:$D$26</definedName>
    <definedName name="T21.1?L7">'[27]21.1'!$F$27:$W$27,'[27]21.1'!$C$27:$D$27</definedName>
    <definedName name="T21.1?L7.1">'[27]21.1'!$F$29:$W$29,'[27]21.1'!$C$29:$D$29</definedName>
    <definedName name="T21.1?L7.2">'[27]21.1'!$F$30:$W$30,'[27]21.1'!$C$30:$D$30</definedName>
    <definedName name="T21.1?L7.3">'[27]21.1'!$F$31:$W$31,'[27]21.1'!$C$31:$D$31</definedName>
    <definedName name="T21.1?L7.4">'[27]21.1'!$F$32:$W$32,'[27]21.1'!$C$32:$D$32</definedName>
    <definedName name="T21.1?L7.4.x">'[27]21.1'!$F$34:$W$35,'[27]21.1'!$C$34:$D$35</definedName>
    <definedName name="T21.1?L8">'[27]21.1'!$F$37:$W$37,'[27]21.1'!$C$37:$D$37</definedName>
    <definedName name="T21.2.1_Name3">'[27]21.2.1'!$P$4,'[27]21.2.1'!$N$4,'[27]21.2.1'!$L$4,'[27]21.2.1'!$J$4,'[27]21.2.1'!$H$4,'[27]21.2.1'!$F$4,'[27]21.2.1'!$R$4</definedName>
    <definedName name="T21.2.1?axis?ПРД?БАЗ">'[27]21.2.1'!$F$9:$F$38,'[27]21.2.1'!$H$9:$H$38,'[27]21.2.1'!$J$9:$J$38,'[27]21.2.1'!$L$9:$L$38,'[27]21.2.1'!$N$9:$N$38,'[27]21.2.1'!$P$9:$P$38,'[27]21.2.1'!$R$9:$R$38,'[27]21.2.1'!$C$9:$C$38</definedName>
    <definedName name="T21.2.1?axis?ПРД?РЕГ">'[27]21.2.1'!$Q$9:$Q$38,'[27]21.2.1'!$O$9:$O$38,'[27]21.2.1'!$M$9:$M$38,'[27]21.2.1'!$K$9:$K$38,'[27]21.2.1'!$I$9:$I$38,'[27]21.2.1'!$G$9:$G$38,'[27]21.2.1'!$D$9:$D$38,'[27]21.2.1'!$S$9:$S$38</definedName>
    <definedName name="T21.2.1?axis?R?ВРАС">'[27]21.2.1'!$C$35:$S$36,'[27]21.2.1'!$C$23:$S$25</definedName>
    <definedName name="T21.2.1?axis?R?ВРАС?">'[27]21.2.1'!$B$35:$B$36,'[27]21.2.1'!$B$23:$B$25</definedName>
    <definedName name="T21.2.1?Data" localSheetId="47">P1_T21.2.1?Data,P2_T21.2.1?Data</definedName>
    <definedName name="T21.2.1?Data">P1_T21.2.1?Data,P2_T21.2.1?Data</definedName>
    <definedName name="T21.2.1?L1">'[27]21.2.1'!$F$9:$S$9,'[27]21.2.1'!$C$9:$D$9</definedName>
    <definedName name="T21.2.1?L1.1">'[27]21.2.1'!$F$11:$S$11,'[27]21.2.1'!$C$11:$D$11</definedName>
    <definedName name="T21.2.1?L2">'[27]21.2.1'!$F$12:$S$12,'[27]21.2.1'!$C$12:$D$12</definedName>
    <definedName name="T21.2.1?L2.1">'[27]21.2.1'!$F$14:$S$14,'[27]21.2.1'!$C$14:$D$14</definedName>
    <definedName name="T21.2.1?L3">'[27]21.2.1'!$F$15:$S$15,'[27]21.2.1'!$C$15:$D$15</definedName>
    <definedName name="T21.2.1?L4">'[27]21.2.1'!$F$16:$S$16,'[27]21.2.1'!$C$16:$D$16</definedName>
    <definedName name="T21.2.1?L5">'[27]21.2.1'!$F$17:$S$17,'[27]21.2.1'!$C$17:$D$17</definedName>
    <definedName name="T21.2.1?L5.1">'[27]21.2.1'!$F$19:$S$19,'[27]21.2.1'!$C$19:$D$19</definedName>
    <definedName name="T21.2.1?L5.2">'[27]21.2.1'!$F$20:$S$20,'[27]21.2.1'!$C$20:$D$20</definedName>
    <definedName name="T21.2.1?L5.3">'[27]21.2.1'!$F$21:$S$21,'[27]21.2.1'!$C$21:$D$21</definedName>
    <definedName name="T21.2.1?L5.3.x">'[27]21.2.1'!$F$23:$S$25,'[27]21.2.1'!$C$23:$D$25</definedName>
    <definedName name="T21.2.1?L6">'[27]21.2.1'!$F$27:$S$27,'[27]21.2.1'!$C$27:$D$27</definedName>
    <definedName name="T21.2.1?L7">'[27]21.2.1'!$F$28:$S$28,'[27]21.2.1'!$C$28:$D$28</definedName>
    <definedName name="T21.2.1?L7.1">'[27]21.2.1'!$F$30:$S$30,'[27]21.2.1'!$C$30:$D$30</definedName>
    <definedName name="T21.2.1?L7.2">'[27]21.2.1'!$F$31:$S$31,'[27]21.2.1'!$C$31:$D$31</definedName>
    <definedName name="T21.2.1?L7.3">'[27]21.2.1'!$F$32:$S$32,'[27]21.2.1'!$C$32:$D$32</definedName>
    <definedName name="T21.2.1?L7.4">'[27]21.2.1'!$F$33:$S$33,'[27]21.2.1'!$C$33:$D$33</definedName>
    <definedName name="T21.2.1?L7.4.x">'[27]21.2.1'!$F$35:$S$36,'[27]21.2.1'!$C$35:$D$36</definedName>
    <definedName name="T21.2.1?L8">'[27]21.2.1'!$F$38:$S$38,'[27]21.2.1'!$C$38:$D$38</definedName>
    <definedName name="T21.2.2_Name3">'[27]21.2.2'!$J$4,'[27]21.2.2'!$H$4,'[27]21.2.2'!$F$4,'[27]21.2.2'!$L$4</definedName>
    <definedName name="T21.2.2?axis?ПРД?БАЗ">'[27]21.2.2'!$F$9:$F$38,'[27]21.2.2'!$H$9:$H$38,'[27]21.2.2'!$J$9:$J$38,'[27]21.2.2'!$L$9:$L$39,'[27]21.2.2'!$C$9:$C$38</definedName>
    <definedName name="T21.2.2?axis?ПРД?РЕГ">'[27]21.2.2'!$G$9:$G$38,'[27]21.2.2'!$I$9:$I$38,'[27]21.2.2'!$K$9:$K$38,'[27]21.2.2'!$M$9:$M$38,'[27]21.2.2'!$D$9:$D$38</definedName>
    <definedName name="T21.2.2?axis?R?ВРАС">'[27]21.2.2'!$C$35:$N$36,'[27]21.2.2'!$C$23:$N$25</definedName>
    <definedName name="T21.2.2?axis?R?ВРАС?">'[27]21.2.2'!$B$35:$B$36,'[27]21.2.2'!$B$23:$B$25</definedName>
    <definedName name="T21.2.2?Data" localSheetId="47">P1_T21.2.2?Data,P2_T21.2.2?Data</definedName>
    <definedName name="T21.2.2?Data">P1_T21.2.2?Data,P2_T21.2.2?Data</definedName>
    <definedName name="T21.2.2?L1">'[27]21.2.2'!$F$9:$M$9,'[27]21.2.2'!$C$9:$D$9</definedName>
    <definedName name="T21.2.2?L1.1">'[27]21.2.2'!$F$11:$M$11,'[27]21.2.2'!$C$11:$D$11</definedName>
    <definedName name="T21.2.2?L2">'[27]21.2.2'!$F$12:$M$12,'[27]21.2.2'!$C$12:$D$12</definedName>
    <definedName name="T21.2.2?L2.1">'[27]21.2.2'!$F$14:$M$14,'[27]21.2.2'!$C$14:$D$14</definedName>
    <definedName name="T21.2.2?L3">'[27]21.2.2'!$F$15:$M$15,'[27]21.2.2'!$C$15:$D$15</definedName>
    <definedName name="T21.2.2?L4">'[27]21.2.2'!$F$16:$M$16,'[27]21.2.2'!$C$16:$D$16</definedName>
    <definedName name="T21.2.2?L5">'[27]21.2.2'!$F$17:$M$17,'[27]21.2.2'!$C$17:$D$17</definedName>
    <definedName name="T21.2.2?L5.1">'[27]21.2.2'!$F$19:$M$19,'[27]21.2.2'!$C$19:$D$19</definedName>
    <definedName name="T21.2.2?L5.2">'[27]21.2.2'!$F$20:$M$20,'[27]21.2.2'!$C$20:$D$20</definedName>
    <definedName name="T21.2.2?L5.3">'[27]21.2.2'!$F$21:$M$21,'[27]21.2.2'!$C$21:$D$21</definedName>
    <definedName name="T21.2.2?L5.3.x">'[27]21.2.2'!$F$23:$M$25,'[27]21.2.2'!$C$23:$D$25</definedName>
    <definedName name="T21.2.2?L6">'[27]21.2.2'!$F$27:$M$27,'[27]21.2.2'!$C$27:$D$27</definedName>
    <definedName name="T21.2.2?L7">'[27]21.2.2'!$F$28:$M$28,'[27]21.2.2'!$C$28:$D$28</definedName>
    <definedName name="T21.2.2?L7.1">'[27]21.2.2'!$F$30:$M$30,'[27]21.2.2'!$C$30:$D$30</definedName>
    <definedName name="T21.2.2?L7.2">'[27]21.2.2'!$F$31:$M$31,'[27]21.2.2'!$C$31:$D$31</definedName>
    <definedName name="T21.2.2?L7.3">'[27]21.2.2'!$F$32:$M$32,'[27]21.2.2'!$C$32:$D$32</definedName>
    <definedName name="T21.2.2?L7.4">'[27]21.2.2'!$F$33:$M$33,'[27]21.2.2'!$C$33:$D$33</definedName>
    <definedName name="T21.2.2?L7.4.x">'[27]21.2.2'!$F$35:$M$36,'[27]21.2.2'!$C$35:$D$36</definedName>
    <definedName name="T21.2.2?L8">'[27]21.2.2'!$F$38:$M$38,'[27]21.2.2'!$C$38:$D$38</definedName>
    <definedName name="T21.3_Protect">'[11]21.3'!$E$19:$I$22,'[11]21.3'!$E$24:$I$25,'[11]21.3'!$B$28:$I$30,'[11]21.3'!$E$32:$I$32,'[11]21.3'!$E$35:$I$45,'[11]21.3'!$B$48:$I$50,'[11]21.3'!$E$13:$I$17</definedName>
    <definedName name="T21.3?ВРАС">'[11]21.3'!$B$28:$B$30,'[11]21.3'!$B$48:$B$50</definedName>
    <definedName name="T21.3?axis?ПРД?БАЗ">'[27]21.3'!$C$10:$D$56</definedName>
    <definedName name="T21.3?axis?ПРД?РЕГ">'[27]21.3'!$E$10:$F$56</definedName>
    <definedName name="T21.3?axis?R?ВРАС">'[27]21.3'!$C$28:$F$30,'[27]21.3'!$C$48:$F$49</definedName>
    <definedName name="T21.3?axis?R?ВРАС?">'[27]21.3'!$B$28:$B$30,'[27]21.3'!$B$48:$B$49</definedName>
    <definedName name="T21.3?axis?R?НАП">'[27]21.3'!$C$13:$F$16,'[27]21.3'!$C$36:$F$39,'[27]21.3'!$C$41:$F$44,'[27]21.3'!$C$53:$F$56</definedName>
    <definedName name="T21.3?axis?R?НАП?">'[27]21.3'!$B$13:$B$16,'[27]21.3'!$B$36:$B$39,'[27]21.3'!$B$41:$B$44,'[27]21.3'!$B$53:$B$56</definedName>
    <definedName name="T21.3?Data">'[27]21.3'!$C$12:$F$17,'[27]21.3'!$C$19:$F$22,'[27]21.3'!$C$24:$F$26,'[27]21.3'!$C$28:$F$30,'[27]21.3'!$C$32:$F$33,'[27]21.3'!$C$35:$F$46,'[27]21.3'!$C$48:$F$49,'[27]21.3'!$C$51:$F$51,'[27]21.3'!$C$53:$F$56,'[27]21.3'!$C$10:$F$10</definedName>
    <definedName name="T21.3?item_ext?ВСЕГО">'[27]21.3'!$C$10:$C$56,'[27]21.3'!$E$10:$E$56</definedName>
    <definedName name="T21.3?item_ext?СБЫТ">'[27]21.3'!$D$10:$D$56,'[27]21.3'!$F$10:$F$56</definedName>
    <definedName name="T21.3?L5.3.x">'[27]21.3'!$C$28:$F$30</definedName>
    <definedName name="T21.3?L7.4.x">'[27]21.3'!$C$48:$F$49</definedName>
    <definedName name="T21.4_Name3">'[27]21.4'!$J$4,'[27]21.4'!$H$4,'[27]21.4'!$F$4,'[27]21.4'!$L$4</definedName>
    <definedName name="T21.4?axis?ПРД?БАЗ">'[27]21.4'!$F$11:$F$43,'[27]21.4'!$H$11:$H$43,'[27]21.4'!$J$11:$J$43,'[27]21.4'!$L$11:$L$43,'[27]21.4'!$C$11:$C$43</definedName>
    <definedName name="T21.4?axis?ПРД?РЕГ">'[27]21.4'!$G$11:$G$43,'[27]21.4'!$I$11:$I$43,'[27]21.4'!$K$11:$K$43,'[27]21.4'!$M$11:$M$43,'[27]21.4'!$D$11:$D$43</definedName>
    <definedName name="T21.4?axis?R?ВРАС">'[27]21.4'!$C$25:$M$27,'[27]21.4'!$C$37:$M$38</definedName>
    <definedName name="T21.4?axis?R?ВРАС?">'[27]21.4'!$B$25:$B$27,'[27]21.4'!$B$37:$B$38</definedName>
    <definedName name="T21.4?Data" localSheetId="47">P1_T21.4?Data,P2_T21.4?Data</definedName>
    <definedName name="T21.4?Data">P1_T21.4?Data,P2_T21.4?Data</definedName>
    <definedName name="T21.4?L1">'[27]21.4'!$F$11:$M$11,'[27]21.4'!$C$11:$D$11</definedName>
    <definedName name="T21.4?L1.1">'[27]21.4'!$F$13:$M$13,'[27]21.4'!$C$13:$D$13</definedName>
    <definedName name="T21.4?L2">'[27]21.4'!$F$14:$M$14,'[27]21.4'!$C$14:$D$14</definedName>
    <definedName name="T21.4?L2.1">'[27]21.4'!$F$16:$M$16,'[27]21.4'!$C$16:$D$16</definedName>
    <definedName name="T21.4?L3">'[27]21.4'!$F$17:$M$17,'[27]21.4'!$C$17:$D$17</definedName>
    <definedName name="T21.4?L4">'[27]21.4'!$F$18:$M$18,'[27]21.4'!$C$18:$D$18</definedName>
    <definedName name="T21.4?L5">'[27]21.4'!$F$19:$M$19,'[27]21.4'!$C$19:$D$19</definedName>
    <definedName name="T21.4?L5.1">'[27]21.4'!$F$21:$M$21,'[27]21.4'!$C$21:$D$21</definedName>
    <definedName name="T21.4?L5.2">'[27]21.4'!$F$22:$M$22,'[27]21.4'!$C$22:$D$22</definedName>
    <definedName name="T21.4?L5.3">'[27]21.4'!$F$23:$M$23,'[27]21.4'!$C$23:$D$23</definedName>
    <definedName name="T21.4?L5.3.x">'[27]21.4'!$F$25:$M$27,'[27]21.4'!$C$25:$D$27</definedName>
    <definedName name="T21.4?L6">'[27]21.4'!$F$29:$M$29,'[27]21.4'!$C$29:$D$29</definedName>
    <definedName name="T21.4?L7">'[27]21.4'!$F$30:$M$30,'[27]21.4'!$C$30:$D$30</definedName>
    <definedName name="T21.4?L7.1">'[27]21.4'!$F$32:$M$32,'[27]21.4'!$C$32:$D$32</definedName>
    <definedName name="T21.4?L7.2">'[27]21.4'!$F$33:$M$33,'[27]21.4'!$C$33:$D$33</definedName>
    <definedName name="T21.4?L7.3">'[27]21.4'!$F$34:$M$34,'[27]21.4'!$C$34:$D$34</definedName>
    <definedName name="T21.4?L7.4">'[27]21.4'!$F$35:$M$35,'[27]21.4'!$C$35:$D$35</definedName>
    <definedName name="T21.4?L7.4.x">'[27]21.4'!$F$37:$M$38,'[27]21.4'!$C$37:$D$38</definedName>
    <definedName name="T21.4?L8">'[27]21.4'!$F$40:$M$40,'[27]21.4'!$C$40:$D$40</definedName>
    <definedName name="T21.4?L8.1">'[27]21.4'!$F$42:$M$42,'[27]21.4'!$C$42:$D$42</definedName>
    <definedName name="T21.4?L8.2">'[27]21.4'!$F$43:$M$43,'[27]21.4'!$C$43:$D$43</definedName>
    <definedName name="T22_Copy" localSheetId="15">'[30]20'!#REF!</definedName>
    <definedName name="T22_Copy" localSheetId="21">'[30]20'!#REF!</definedName>
    <definedName name="T22_Copy" localSheetId="46">'[30]20'!#REF!</definedName>
    <definedName name="T22_Copy" localSheetId="47">'[30]20'!#REF!</definedName>
    <definedName name="T22_Copy" localSheetId="7">'[30]20'!#REF!</definedName>
    <definedName name="T22_Copy">'[30]20'!#REF!</definedName>
    <definedName name="T22_Copy2" localSheetId="15">'[30]20'!#REF!</definedName>
    <definedName name="T22_Copy2" localSheetId="21">'[30]20'!#REF!</definedName>
    <definedName name="T22_Copy2" localSheetId="46">'[30]20'!#REF!</definedName>
    <definedName name="T22_Copy2" localSheetId="7">'[30]20'!#REF!</definedName>
    <definedName name="T22_Copy2">'[30]20'!#REF!</definedName>
    <definedName name="T22_Protection">'[24]22'!$E$19:$L$23,'[24]22'!$E$25:$L$25,'[24]22'!$E$27:$L$31,'[24]22'!$E$17:$L$17</definedName>
    <definedName name="T22?axis?ПРД?БАЗ">'[3]22'!$J$6:$K$26, '[3]22'!$G$6:$H$26</definedName>
    <definedName name="T22?axis?ПРД?ПРЕД">'[3]22'!$L$6:$M$26, '[3]22'!$E$6:$F$26</definedName>
    <definedName name="T22?axis?ПФ?ПЛАН">'[3]22'!$J$6:$J$26,'[3]22'!$E$6:$E$26,'[3]22'!$L$6:$L$26,'[3]22'!$G$6:$G$26</definedName>
    <definedName name="T22?axis?ПФ?ФАКТ">'[3]22'!$K$6:$K$26,'[3]22'!$F$6:$F$26,'[3]22'!$M$6:$M$26,'[3]22'!$H$6:$H$26</definedName>
    <definedName name="T22?axis?C?СЦТ">'[27]22'!$H$7:$K$257,'[27]22'!$M$7:$M$257</definedName>
    <definedName name="T22?axis?C?СЦТ?">'[27]22'!$H$5:$K$5,'[27]22'!$M$5</definedName>
    <definedName name="T22?axis?R?ВРАС?" localSheetId="15">'[30]20'!#REF!</definedName>
    <definedName name="T22?axis?R?ВРАС?" localSheetId="21">'[30]20'!#REF!</definedName>
    <definedName name="T22?axis?R?ВРАС?" localSheetId="46">'[30]20'!#REF!</definedName>
    <definedName name="T22?axis?R?ВРАС?" localSheetId="47">'[30]20'!#REF!</definedName>
    <definedName name="T22?axis?R?ВРАС?" localSheetId="7">'[30]20'!#REF!</definedName>
    <definedName name="T22?axis?R?ВРАС?">'[30]20'!#REF!</definedName>
    <definedName name="T22?axis?R?ДОГОВОР">'[3]22'!$E$8:$M$9,'[3]22'!$E$13:$M$14,'[3]22'!$E$22:$M$23,'[3]22'!$E$18:$M$18</definedName>
    <definedName name="T22?axis?R?ДОГОВОР?">'[3]22'!$A$8:$A$9,'[3]22'!$A$13:$A$14,'[3]22'!$A$22:$A$23,'[3]22'!$A$18</definedName>
    <definedName name="T22?item_ext?ВСЕГО">'[24]22'!$E$8:$F$31,'[24]22'!$I$8:$J$31</definedName>
    <definedName name="T22?item_ext?ЭС">'[24]22'!$K$8:$L$31,'[24]22'!$G$8:$H$31</definedName>
    <definedName name="T22?L1" xml:space="preserve"> '[3]22'!$A$11:$M$11,    '[3]22'!$A$6:$M$6,    '[3]22'!$A$16:$M$16,    '[3]22'!$A$20:$M$20</definedName>
    <definedName name="T22?L1.1">'[27]22'!$E$8:$F$8,'[27]22'!$H$8:$K$8,'[27]22'!$M$8:$N$8</definedName>
    <definedName name="T22?L1.1.x">'[27]22'!$E$10:$F$18,'[27]22'!$H$10:$K$18,'[27]22'!$M$10:$N$18</definedName>
    <definedName name="T22?L1.2">'[27]22'!$N$20,'[27]22'!$E$20:$F$20</definedName>
    <definedName name="T22?L1.3">'[27]22'!$N$21,'[27]22'!$E$21:$F$21</definedName>
    <definedName name="T22?L1.4">'[27]22'!$N$22,'[27]22'!$E$22:$F$22</definedName>
    <definedName name="T22?L1.4.x">'[27]22'!$N$24:$N$26,'[27]22'!$E$24:$F$26</definedName>
    <definedName name="T22?L1.x">'[3]22'!$A$13:$M$14, '[3]22'!$A$8:$M$9, '[3]22'!$A$18:$M$18, '[3]22'!$A$22:$M$23</definedName>
    <definedName name="T22?L2">'[24]22'!$H$8:$H$31,'[24]22'!$J$8:$J$31,'[24]22'!$L$8:$L$31,'[24]22'!$F$8:$F$31</definedName>
    <definedName name="T22?L2.1">'[27]22'!$E$31:$F$31,'[27]22'!$H$31:$K$31,'[27]22'!$M$31:$N$31</definedName>
    <definedName name="T22?L2.1.x">'[27]22'!$E$33:$F$41,'[27]22'!$H$33:$K$41,'[27]22'!$M$33:$N$41</definedName>
    <definedName name="T22?L2.2">'[27]22'!$N$43,'[27]22'!$E$43:$F$43</definedName>
    <definedName name="T22?L2.3">'[27]22'!$N$44,'[27]22'!$E$44:$F$44</definedName>
    <definedName name="T22?L2.4">'[27]22'!$N$45,'[27]22'!$E$45:$F$45</definedName>
    <definedName name="T22?L2.4.x">'[27]22'!$N$47:$N$49,'[27]22'!$E$47:$F$49</definedName>
    <definedName name="T22?L3">'[27]22'!$E$53:$F$53,'[27]22'!$H$53:$K$53,'[27]22'!$M$53:$N$53</definedName>
    <definedName name="T22?L3.1">'[27]22'!$E$54:$F$54,'[27]22'!$H$54:$K$54,'[27]22'!$M$54:$N$54</definedName>
    <definedName name="T22?L3.1.x">'[27]22'!$E$56:$F$64,'[27]22'!$H$56:$K$64,'[27]22'!$M$56:$N$64</definedName>
    <definedName name="T22?L3.2">'[27]22'!$N$66,'[27]22'!$E$66:$F$66</definedName>
    <definedName name="T22?L3.3">'[27]22'!$N$67,'[27]22'!$E$67:$F$67</definedName>
    <definedName name="T22?L3.4">'[27]22'!$E$68:$F$68,'[27]22'!$N$68</definedName>
    <definedName name="T22?L3.4.x">'[27]22'!$N$70:$N$72,'[27]22'!$E$70:$F$72</definedName>
    <definedName name="T22?L4">'[27]22'!$E$76:$F$76,'[27]22'!$H$76:$K$76,'[27]22'!$M$76:$N$76</definedName>
    <definedName name="T22?L4.1">'[27]22'!$E$77:$F$77,'[27]22'!$H$77:$K$77,'[27]22'!$M$77:$N$77</definedName>
    <definedName name="T22?L4.1.x">'[27]22'!$E$79:$F$87,'[27]22'!$H$79:$K$87,'[27]22'!$M$79:$N$87</definedName>
    <definedName name="T22?L4.2">'[27]22'!$N$89,'[27]22'!$E$89:$F$89</definedName>
    <definedName name="T22?L4.3">'[27]22'!$N$90,'[27]22'!$E$90:$F$90</definedName>
    <definedName name="T22?L4.4">'[27]22'!$N$91,'[27]22'!$E$91:$F$91</definedName>
    <definedName name="T22?L4.4.x">'[27]22'!$N$93:$N$95,'[27]22'!$E$93:$F$95</definedName>
    <definedName name="T22?L5.1">'[27]22'!$E$100:$F$100,'[27]22'!$H$100:$K$100,'[27]22'!$M$100:$N$100</definedName>
    <definedName name="T22?L5.1.x">'[27]22'!$E$102:$F$110,'[27]22'!$H$102:$K$110,'[27]22'!$M$102:$N$110</definedName>
    <definedName name="T22?L5.2">'[27]22'!$N$112,'[27]22'!$E$112:$F$112</definedName>
    <definedName name="T22?L5.3">'[27]22'!$N$113,'[27]22'!$E$113:$F$113</definedName>
    <definedName name="T22?L5.4">'[27]22'!$N$114,'[27]22'!$E$114:$F$114</definedName>
    <definedName name="T22?L5.4.x">'[27]22'!$N$116:$N$118,'[27]22'!$E$116:$F$118</definedName>
    <definedName name="T22?L6">'[27]22'!$E$122:$F$122,'[27]22'!$H$122:$K$122,'[27]22'!$M$122:$N$122</definedName>
    <definedName name="T22?L6.1">'[27]22'!$E$123:$F$123,'[27]22'!$H$123:$K$123,'[27]22'!$M$123:$N$123</definedName>
    <definedName name="T22?L6.1.x">'[27]22'!$E$125:$F$133,'[27]22'!$H$125:$K$133,'[27]22'!$M$125:$N$133</definedName>
    <definedName name="T22?L6.2">'[27]22'!$N$135,'[27]22'!$E$135:$F$135</definedName>
    <definedName name="T22?L6.3">'[27]22'!$N$136,'[27]22'!$E$136:$F$136</definedName>
    <definedName name="T22?L6.4">'[27]22'!$N$137,'[27]22'!$E$137:$F$137</definedName>
    <definedName name="T22?L6.4.x">'[27]22'!$N$139:$N$141,'[27]22'!$E$139:$F$141</definedName>
    <definedName name="T22?L7.1">'[27]22'!$E$146:$F$146,'[27]22'!$H$146:$K$146,'[27]22'!$M$146</definedName>
    <definedName name="T22?L8.1">'[27]22'!$E$169:$F$169,'[27]22'!$H$169:$K$169,'[27]22'!$M$169</definedName>
    <definedName name="T22?L8.1.x">'[27]22'!$E$171:$F$179,'[27]22'!$H$171:$K$179,'[27]22'!$M$171:$M$179</definedName>
    <definedName name="T22?L9.1">'[27]22'!$E$192:$F$192,'[27]22'!$H$192:$K$192,'[27]22'!$M$192</definedName>
    <definedName name="T22?L9.1.x">'[27]22'!$E$194:$F$202,'[27]22'!$H$194:$K$202,'[27]22'!$M$194:$M$202</definedName>
    <definedName name="T22?unit?ГКАЛ.Ч">'[24]22'!$G$8:$G$31,'[24]22'!$I$8:$I$31,'[24]22'!$K$8:$K$31,'[24]22'!$E$8:$E$31</definedName>
    <definedName name="T22?unit?РУБ.ТКВТЧ">'[27]22'!$A$237:$N$257,'[27]22'!$A$191:$N$211</definedName>
    <definedName name="T22?unit?ТГКАЛ">'[24]22'!$H$8:$H$31,'[24]22'!$J$8:$J$31,'[24]22'!$L$8:$L$31,'[24]22'!$F$8:$F$31</definedName>
    <definedName name="T23_1_Change1">'[11]21.3'!$L$32,'[11]21.3'!$L$19:$L$22,'[11]21.3'!$L$24:$L$25,'[11]21.3'!$L$28:$L$30,'[11]21.3'!$L$13:$L$17,'[11]21.3'!$L$10,'[11]21.3'!$L$40:$L$45,'[11]21.3'!$L$48:$L$50</definedName>
    <definedName name="T23_Protection" localSheetId="47">'[24]23'!$A$60:$A$62,'[24]23'!$F$60:$J$62,'[24]23'!$O$60:$P$62,'[24]23'!$A$9:$A$25,P1_T23_Protection</definedName>
    <definedName name="T23_Protection">'[24]23'!$A$60:$A$62,'[24]23'!$F$60:$J$62,'[24]23'!$O$60:$P$62,'[24]23'!$A$9:$A$25,P1_T23_Protection</definedName>
    <definedName name="T23?axis?ПРД?БАЗ">'[3]23'!$I$6:$J$13,'[3]23'!$F$6:$G$13</definedName>
    <definedName name="T23?axis?ПРД?ПРЕД">'[3]23'!$K$6:$L$13,'[3]23'!$D$6:$E$13</definedName>
    <definedName name="T23?axis?ПФ?ПЛАН">'[3]23'!$I$6:$I$13,'[3]23'!$D$6:$D$13,'[3]23'!$K$6:$K$13,'[3]23'!$F$6:$F$13</definedName>
    <definedName name="T23?axis?ПФ?ФАКТ">'[3]23'!$J$6:$J$13,'[3]23'!$E$6:$E$13,'[3]23'!$L$6:$L$13,'[3]23'!$G$6:$G$13</definedName>
    <definedName name="T23?axis?R?ВТОП">'[24]23'!$E$8:$P$30,'[24]23'!$E$36:$P$58</definedName>
    <definedName name="T23?axis?R?ВТОП?">'[24]23'!$C$8:$C$30,'[24]23'!$C$36:$C$58</definedName>
    <definedName name="T23?axis?R?ПЭ">'[24]23'!$E$8:$P$30,'[24]23'!$E$36:$P$58</definedName>
    <definedName name="T23?axis?R?ПЭ?">'[24]23'!$B$8:$B$30,'[24]23'!$B$36:$B$58</definedName>
    <definedName name="T23?axis?R?СЦТ">'[24]23'!$E$32:$P$34,'[24]23'!$E$60:$P$62</definedName>
    <definedName name="T23?axis?R?СЦТ?">'[24]23'!$A$60:$A$62,'[24]23'!$A$32:$A$34</definedName>
    <definedName name="T23?Data">'[3]23'!$D$9:$L$9,'[3]23'!$D$11:$L$13,'[3]23'!$D$6:$L$7</definedName>
    <definedName name="T23?item_ext?ВСЕГО">'[24]23'!$A$55:$P$58,'[24]23'!$A$27:$P$30</definedName>
    <definedName name="T23?item_ext?ИТОГО">'[24]23'!$A$59:$P$59,'[24]23'!$A$31:$P$31</definedName>
    <definedName name="T23?item_ext?СЦТ">'[24]23'!$A$60:$P$62,'[24]23'!$A$32:$P$34</definedName>
    <definedName name="T23?unit?МВТ">'[27]23'!$D$11:$E$11,'[27]23'!$D$13:$E$15</definedName>
    <definedName name="T23?unit?МКВТЧ">'[27]23'!$D$6:$E$6,'[27]23'!$D$8:$E$10</definedName>
    <definedName name="T23?unit?ПРЦ">'[3]23'!$D$12:$H$12,'[3]23'!$I$6:$L$13</definedName>
    <definedName name="T23?unit?РУБ.ТКВТ">'[27]23'!$D$19:$E$19,'[27]23'!$D$22:$E$22,'[27]23'!$D$25:$E$25,'[27]23'!$D$28:$E$28</definedName>
    <definedName name="T23?unit?РУБ.ТКВТЧ">'[27]23'!$D$17:$E$18,'[27]23'!$D$20:$E$21,'[27]23'!$D$23:$E$24,'[27]23'!$D$26:$E$27</definedName>
    <definedName name="T23?unit?ТРУБ">'[3]23'!$D$9:$H$9,'[3]23'!$D$11:$H$11,'[3]23'!$D$13:$H$13,'[3]23'!$D$6:$H$7</definedName>
    <definedName name="T24_1_Name">'[27]24.1'!$K$4,'[27]24.1'!$I$4,'[27]24.1'!$G$4,'[27]24.1'!$M$4</definedName>
    <definedName name="T24_Copy1" localSheetId="15">'[30]24'!#REF!</definedName>
    <definedName name="T24_Copy1" localSheetId="21">'[30]24'!#REF!</definedName>
    <definedName name="T24_Copy1" localSheetId="46">'[30]24'!#REF!</definedName>
    <definedName name="T24_Copy1" localSheetId="47">'[30]24'!#REF!</definedName>
    <definedName name="T24_Copy1" localSheetId="7">'[30]24'!#REF!</definedName>
    <definedName name="T24_Copy1">'[30]24'!#REF!</definedName>
    <definedName name="T24_Copy2" localSheetId="15">'[30]24'!#REF!</definedName>
    <definedName name="T24_Copy2" localSheetId="21">'[30]24'!#REF!</definedName>
    <definedName name="T24_Copy2" localSheetId="46">'[30]24'!#REF!</definedName>
    <definedName name="T24_Copy2" localSheetId="7">'[30]24'!#REF!</definedName>
    <definedName name="T24_Copy2">'[30]24'!#REF!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'[24]24'!$E$24:$H$37,'[24]24'!$B$35:$B$37,'[24]24'!$E$41:$H$42,'[24]24'!$J$8:$M$21,'[24]24'!$J$24:$M$37,'[24]24'!$J$41:$M$42,'[24]24'!$E$8:$H$21</definedName>
    <definedName name="T24?axis?ПРД?БАЗ">'[3]24'!$I$6:$J$39,'[3]24'!$F$6:$G$39</definedName>
    <definedName name="T24?axis?ПРД?ПРЕД">'[3]24'!$K$6:$L$39,'[3]24'!$D$6:$E$39</definedName>
    <definedName name="T24?axis?ПФ?ПЛАН">'[3]24'!$I$6:$I$39,'[3]24'!$D$6:$D$39,'[3]24'!$K$6:$K$39,'[3]24'!$F$6:$F$38</definedName>
    <definedName name="T24?axis?ПФ?ФАКТ">'[3]24'!$J$6:$J$39,'[3]24'!$E$6:$E$39,'[3]24'!$L$6:$L$39,'[3]24'!$G$6:$G$39</definedName>
    <definedName name="T24?axis?R?ДОГОВОР">'[3]24'!$D$27:$L$37,'[3]24'!$D$8:$L$18</definedName>
    <definedName name="T24?axis?R?ДОГОВОР?">'[3]24'!$B$27:$B$37,'[3]24'!$B$8:$B$18</definedName>
    <definedName name="T24?axis?R?НАП">'[27]24'!$D$7:$E$8,'[27]24'!$D$10:$E$12,'[27]24'!$D$14:$E$15,'[27]24'!$D$17:$E$19,'[27]24'!$D$22:$E$23,'[27]24'!$D$25:$E$27,'[27]24'!$D$33:$E$34,'[27]24'!$D$36:$E$38,'[27]24'!$D$40:$E$41,'[27]24'!$D$43:$E$45</definedName>
    <definedName name="T24?axis?R?НАП?">'[27]24'!$B$7:$B$8,'[27]24'!$B$10:$B$12,'[27]24'!$B$14:$B$15,'[27]24'!$B$17:$B$19,'[27]24'!$B$22:$B$23,'[27]24'!$B$25:$B$27,'[27]24'!$B$33:$B$34,'[27]24'!$B$36:$B$38,'[27]24'!$B$40:$B$41,'[27]24'!$B$43:$B$45</definedName>
    <definedName name="T24?Data">'[3]24'!$D$6:$L$6, '[3]24'!$D$8:$L$18, '[3]24'!$D$20:$L$25, '[3]24'!$D$27:$L$37, '[3]24'!$D$39:$L$39</definedName>
    <definedName name="T24?L1.1">'[27]24'!$D$7:$E$8,'[27]24'!$D$10:$E$12</definedName>
    <definedName name="T24?L4.1">'[27]24'!$D$22:$E$23,'[27]24'!$D$25:$E$27</definedName>
    <definedName name="T24?L5.1">'[27]24'!$D$33:$E$33,'[27]24'!$D$36:$E$38</definedName>
    <definedName name="T24?L6.1">'[27]24'!$D$40:$E$40,'[27]24'!$D$43:$E$45</definedName>
    <definedName name="T24?unit?ПРЦ">'[3]24'!$D$22:$H$22, '[3]24'!$I$6:$L$6, '[3]24'!$I$8:$L$18, '[3]24'!$I$20:$L$25, '[3]24'!$I$27:$L$37, '[3]24'!$I$39:$L$39</definedName>
    <definedName name="T24?unit?ТРУБ">'[3]24'!$D$6:$H$6, '[3]24'!$D$8:$H$18, '[3]24'!$D$20:$H$21, '[3]24'!$D$23:$H$25, '[3]24'!$D$27:$H$37, '[3]24'!$D$39:$H$39</definedName>
    <definedName name="T24.1_Copy1" localSheetId="15">'[30]24.1'!#REF!</definedName>
    <definedName name="T24.1_Copy1" localSheetId="21">'[30]24.1'!#REF!</definedName>
    <definedName name="T24.1_Copy1" localSheetId="46">'[30]24.1'!#REF!</definedName>
    <definedName name="T24.1_Copy1" localSheetId="47">'[30]24.1'!#REF!</definedName>
    <definedName name="T24.1_Copy1" localSheetId="7">'[30]24.1'!#REF!</definedName>
    <definedName name="T24.1_Copy1">'[30]24.1'!#REF!</definedName>
    <definedName name="T24.1_Copy2" localSheetId="15">'[30]24.1'!#REF!</definedName>
    <definedName name="T24.1_Copy2" localSheetId="21">'[30]24.1'!#REF!</definedName>
    <definedName name="T24.1_Copy2" localSheetId="46">'[30]24.1'!#REF!</definedName>
    <definedName name="T24.1_Copy2" localSheetId="7">'[30]24.1'!#REF!</definedName>
    <definedName name="T24.1_Copy2">'[30]24.1'!#REF!</definedName>
    <definedName name="T24.1?Data">'[3]24.1'!$E$6:$J$21, '[3]24.1'!$E$23, '[3]24.1'!$H$23:$J$23, '[3]24.1'!$E$28:$J$42, '[3]24.1'!$E$44, '[3]24.1'!$H$44:$J$44</definedName>
    <definedName name="T24.1?unit?ТРУБ">'[3]24.1'!$E$5:$E$44, '[3]24.1'!$J$5:$J$44</definedName>
    <definedName name="T25_1_Name">'[27]25.1'!$J$4,'[27]25.1'!$H$4,'[27]25.1'!$F$4,'[27]25.1'!$L$4</definedName>
    <definedName name="T25_Copy1" localSheetId="15">#REF!</definedName>
    <definedName name="T25_Copy1" localSheetId="21">#REF!</definedName>
    <definedName name="T25_Copy1" localSheetId="46">#REF!</definedName>
    <definedName name="T25_Copy1" localSheetId="47">#REF!</definedName>
    <definedName name="T25_Copy1" localSheetId="7">#REF!</definedName>
    <definedName name="T25_Copy1">#REF!</definedName>
    <definedName name="T25_Copy2" localSheetId="15">#REF!</definedName>
    <definedName name="T25_Copy2" localSheetId="21">#REF!</definedName>
    <definedName name="T25_Copy2" localSheetId="46">#REF!</definedName>
    <definedName name="T25_Copy2" localSheetId="7">#REF!</definedName>
    <definedName name="T25_Copy2">#REF!</definedName>
    <definedName name="T25_Copy3" localSheetId="15">#REF!</definedName>
    <definedName name="T25_Copy3" localSheetId="21">#REF!</definedName>
    <definedName name="T25_Copy3" localSheetId="46">#REF!</definedName>
    <definedName name="T25_Copy3" localSheetId="7">#REF!</definedName>
    <definedName name="T25_Copy3">#REF!</definedName>
    <definedName name="T25_Copy4" localSheetId="15">#REF!</definedName>
    <definedName name="T25_Copy4" localSheetId="21">#REF!</definedName>
    <definedName name="T25_Copy4" localSheetId="46">#REF!</definedName>
    <definedName name="T25_Copy4" localSheetId="7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 localSheetId="47">P1_T25_protection,P2_T25_protection</definedName>
    <definedName name="T25_protection">P1_T25_protection,P2_T25_protection</definedName>
    <definedName name="T25?axis?ПРД?БАЗ" localSheetId="15">#REF!</definedName>
    <definedName name="T25?axis?ПРД?БАЗ" localSheetId="21">#REF!</definedName>
    <definedName name="T25?axis?ПРД?БАЗ" localSheetId="46">#REF!</definedName>
    <definedName name="T25?axis?ПРД?БАЗ" localSheetId="47">#REF!</definedName>
    <definedName name="T25?axis?ПРД?БАЗ" localSheetId="7">#REF!</definedName>
    <definedName name="T25?axis?ПРД?БАЗ">#REF!</definedName>
    <definedName name="T25?axis?ПРД?ПРЕД" localSheetId="15">#REF!</definedName>
    <definedName name="T25?axis?ПРД?ПРЕД" localSheetId="21">#REF!</definedName>
    <definedName name="T25?axis?ПРД?ПРЕД" localSheetId="46">#REF!</definedName>
    <definedName name="T25?axis?ПРД?ПРЕД" localSheetId="7">#REF!</definedName>
    <definedName name="T25?axis?ПРД?ПРЕД">#REF!</definedName>
    <definedName name="T25?axis?ПРД?РЕГ" localSheetId="15">#REF!</definedName>
    <definedName name="T25?axis?ПРД?РЕГ" localSheetId="21">#REF!</definedName>
    <definedName name="T25?axis?ПРД?РЕГ" localSheetId="46">#REF!</definedName>
    <definedName name="T25?axis?ПРД?РЕГ" localSheetId="7">#REF!</definedName>
    <definedName name="T25?axis?ПРД?РЕГ">#REF!</definedName>
    <definedName name="T25?axis?ПФ?ПЛАН">'[3]25'!$I$7:$I$51,         '[3]25'!$L$7:$L$51</definedName>
    <definedName name="T25?axis?ПФ?ФАКТ">'[3]25'!$J$7:$J$51,         '[3]25'!$M$7:$M$51</definedName>
    <definedName name="T25?axis?R?ВРАС" localSheetId="15">#REF!</definedName>
    <definedName name="T25?axis?R?ВРАС" localSheetId="21">#REF!</definedName>
    <definedName name="T25?axis?R?ВРАС" localSheetId="46">#REF!</definedName>
    <definedName name="T25?axis?R?ВРАС" localSheetId="47">#REF!</definedName>
    <definedName name="T25?axis?R?ВРАС" localSheetId="7">#REF!</definedName>
    <definedName name="T25?axis?R?ВРАС">#REF!</definedName>
    <definedName name="T25?axis?R?ВРАС?" localSheetId="15">#REF!</definedName>
    <definedName name="T25?axis?R?ВРАС?" localSheetId="21">#REF!</definedName>
    <definedName name="T25?axis?R?ВРАС?" localSheetId="46">#REF!</definedName>
    <definedName name="T25?axis?R?ВРАС?" localSheetId="7">#REF!</definedName>
    <definedName name="T25?axis?R?ВРАС?">#REF!</definedName>
    <definedName name="T25?axis?R?ДОГОВОР">'[3]25'!$G$19:$O$20, '[3]25'!$G$9:$O$10, '[3]25'!$G$14:$O$15, '[3]25'!$G$24:$O$24, '[3]25'!$G$29:$O$34, '[3]25'!$G$38:$O$40</definedName>
    <definedName name="T25?axis?R?ДОГОВОР?">'[3]25'!$E$19:$E$20, '[3]25'!$E$9:$E$10, '[3]25'!$E$14:$E$15, '[3]25'!$E$24, '[3]25'!$E$29:$E$34, '[3]25'!$E$38:$E$40</definedName>
    <definedName name="T25?Data" localSheetId="15">#REF!</definedName>
    <definedName name="T25?Data" localSheetId="21">#REF!</definedName>
    <definedName name="T25?Data" localSheetId="46">#REF!</definedName>
    <definedName name="T25?Data" localSheetId="47">#REF!</definedName>
    <definedName name="T25?Data" localSheetId="7">#REF!</definedName>
    <definedName name="T25?Data">#REF!</definedName>
    <definedName name="T25?item_ext?РОСТ" localSheetId="15">#REF!</definedName>
    <definedName name="T25?item_ext?РОСТ" localSheetId="21">#REF!</definedName>
    <definedName name="T25?item_ext?РОСТ" localSheetId="46">#REF!</definedName>
    <definedName name="T25?item_ext?РОСТ" localSheetId="7">#REF!</definedName>
    <definedName name="T25?item_ext?РОСТ">#REF!</definedName>
    <definedName name="T25?item_ext?РОСТ2" localSheetId="15">#REF!</definedName>
    <definedName name="T25?item_ext?РОСТ2" localSheetId="21">#REF!</definedName>
    <definedName name="T25?item_ext?РОСТ2" localSheetId="46">#REF!</definedName>
    <definedName name="T25?item_ext?РОСТ2" localSheetId="7">#REF!</definedName>
    <definedName name="T25?item_ext?РОСТ2">#REF!</definedName>
    <definedName name="T25?L1" xml:space="preserve"> '[3]25'!$A$17:$O$17,  '[3]25'!$A$7:$O$7,  '[3]25'!$A$12:$O$12,  '[3]25'!$A$22:$O$22,  '[3]25'!$A$26:$O$26,  '[3]25'!$A$36:$O$36</definedName>
    <definedName name="T25?L1.1">'[3]25'!$A$19:$O$20, '[3]25'!$A$31:$O$31, '[3]25'!$A$9:$O$10, '[3]25'!$A$14:$O$15, '[3]25'!$A$24:$O$24, '[3]25'!$A$29:$O$29, '[3]25'!$A$33:$O$33, '[3]25'!$A$38:$O$40</definedName>
    <definedName name="T25?L1.2" localSheetId="15">#REF!</definedName>
    <definedName name="T25?L1.2" localSheetId="21">#REF!</definedName>
    <definedName name="T25?L1.2" localSheetId="46">#REF!</definedName>
    <definedName name="T25?L1.2" localSheetId="47">#REF!</definedName>
    <definedName name="T25?L1.2" localSheetId="7">#REF!</definedName>
    <definedName name="T25?L1.2">#REF!</definedName>
    <definedName name="T25?L1.2.1" xml:space="preserve"> '[3]25'!$A$32:$O$32,     '[3]25'!$A$30:$O$30,     '[3]25'!$A$34:$O$34</definedName>
    <definedName name="T25?L2" localSheetId="15">#REF!</definedName>
    <definedName name="T25?L2" localSheetId="21">#REF!</definedName>
    <definedName name="T25?L2" localSheetId="46">#REF!</definedName>
    <definedName name="T25?L2" localSheetId="47">#REF!</definedName>
    <definedName name="T25?L2" localSheetId="7">#REF!</definedName>
    <definedName name="T25?L2">#REF!</definedName>
    <definedName name="T25?L2.1" localSheetId="15">#REF!</definedName>
    <definedName name="T25?L2.1" localSheetId="21">#REF!</definedName>
    <definedName name="T25?L2.1" localSheetId="46">#REF!</definedName>
    <definedName name="T25?L2.1" localSheetId="7">#REF!</definedName>
    <definedName name="T25?L2.1">#REF!</definedName>
    <definedName name="T25?L2.1.1" localSheetId="15">#REF!</definedName>
    <definedName name="T25?L2.1.1" localSheetId="21">#REF!</definedName>
    <definedName name="T25?L2.1.1" localSheetId="46">#REF!</definedName>
    <definedName name="T25?L2.1.1" localSheetId="7">#REF!</definedName>
    <definedName name="T25?L2.1.1">#REF!</definedName>
    <definedName name="T25?L2.1.2" localSheetId="15">#REF!</definedName>
    <definedName name="T25?L2.1.2" localSheetId="21">#REF!</definedName>
    <definedName name="T25?L2.1.2" localSheetId="46">#REF!</definedName>
    <definedName name="T25?L2.1.2" localSheetId="7">#REF!</definedName>
    <definedName name="T25?L2.1.2">#REF!</definedName>
    <definedName name="T25?L2.2" localSheetId="15">#REF!</definedName>
    <definedName name="T25?L2.2" localSheetId="21">#REF!</definedName>
    <definedName name="T25?L2.2" localSheetId="46">#REF!</definedName>
    <definedName name="T25?L2.2" localSheetId="7">#REF!</definedName>
    <definedName name="T25?L2.2">#REF!</definedName>
    <definedName name="T25?L2.2.1" localSheetId="15">#REF!</definedName>
    <definedName name="T25?L2.2.1" localSheetId="21">#REF!</definedName>
    <definedName name="T25?L2.2.1" localSheetId="46">#REF!</definedName>
    <definedName name="T25?L2.2.1" localSheetId="7">#REF!</definedName>
    <definedName name="T25?L2.2.1">#REF!</definedName>
    <definedName name="T25?L2.2.2" localSheetId="15">#REF!</definedName>
    <definedName name="T25?L2.2.2" localSheetId="21">#REF!</definedName>
    <definedName name="T25?L2.2.2" localSheetId="46">#REF!</definedName>
    <definedName name="T25?L2.2.2" localSheetId="7">#REF!</definedName>
    <definedName name="T25?L2.2.2">#REF!</definedName>
    <definedName name="T25?L2.2.3" localSheetId="15">#REF!</definedName>
    <definedName name="T25?L2.2.3" localSheetId="21">#REF!</definedName>
    <definedName name="T25?L2.2.3" localSheetId="46">#REF!</definedName>
    <definedName name="T25?L2.2.3" localSheetId="7">#REF!</definedName>
    <definedName name="T25?L2.2.3">#REF!</definedName>
    <definedName name="T25?L2.2.4" localSheetId="15">#REF!</definedName>
    <definedName name="T25?L2.2.4" localSheetId="21">#REF!</definedName>
    <definedName name="T25?L2.2.4" localSheetId="46">#REF!</definedName>
    <definedName name="T25?L2.2.4" localSheetId="7">#REF!</definedName>
    <definedName name="T25?L2.2.4">#REF!</definedName>
    <definedName name="T25?L3">'[27]25'!$D$17:$E$17,'[27]25'!$D$20:$E$22</definedName>
    <definedName name="T25?L4">'[27]25'!$D$24:$E$25,'[27]25'!$D$27:$E$29</definedName>
    <definedName name="T25?L5">'[27]25'!$D$31:$E$31,'[27]25'!$D$34:$E$36</definedName>
    <definedName name="T25?L6">'[27]25'!$D$38:$E$38,'[27]25'!$D$41:$E$43</definedName>
    <definedName name="T25?Name" localSheetId="15">#REF!</definedName>
    <definedName name="T25?Name" localSheetId="21">#REF!</definedName>
    <definedName name="T25?Name" localSheetId="46">#REF!</definedName>
    <definedName name="T25?Name" localSheetId="47">#REF!</definedName>
    <definedName name="T25?Name" localSheetId="7">#REF!</definedName>
    <definedName name="T25?Name">#REF!</definedName>
    <definedName name="T25?Table" localSheetId="15">#REF!</definedName>
    <definedName name="T25?Table" localSheetId="21">#REF!</definedName>
    <definedName name="T25?Table" localSheetId="46">#REF!</definedName>
    <definedName name="T25?Table" localSheetId="7">#REF!</definedName>
    <definedName name="T25?Table">#REF!</definedName>
    <definedName name="T25?Title" localSheetId="15">#REF!</definedName>
    <definedName name="T25?Title" localSheetId="21">#REF!</definedName>
    <definedName name="T25?Title" localSheetId="46">#REF!</definedName>
    <definedName name="T25?Title" localSheetId="7">#REF!</definedName>
    <definedName name="T25?Title">#REF!</definedName>
    <definedName name="T25?unit?ГА" xml:space="preserve"> '[3]25'!$G$32:$K$32,     '[3]25'!$G$27:$K$27,     '[3]25'!$G$30:$K$30,     '[3]25'!$G$34:$K$34</definedName>
    <definedName name="T25?unit?МКВТЧ">'[27]25'!$D$9:$E$15,'[27]25'!$D$24:$E$29</definedName>
    <definedName name="T25?unit?ПРЦ" localSheetId="15">#REF!</definedName>
    <definedName name="T25?unit?ПРЦ" localSheetId="21">#REF!</definedName>
    <definedName name="T25?unit?ПРЦ" localSheetId="46">#REF!</definedName>
    <definedName name="T25?unit?ПРЦ" localSheetId="47">#REF!</definedName>
    <definedName name="T25?unit?ПРЦ" localSheetId="7">#REF!</definedName>
    <definedName name="T25?unit?ПРЦ">#REF!</definedName>
    <definedName name="T25?unit?РУБ.МВТЧ">'[27]25'!$D$38:$E$43,'[27]25'!$D$6:$E$8</definedName>
    <definedName name="T25?unit?ТРУБ" xml:space="preserve"> '[3]25'!$G$31:$K$31,     '[3]25'!$G$6:$K$26,     '[3]25'!$G$29:$K$29,     '[3]25'!$G$33:$K$33,     '[3]25'!$G$36:$K$51</definedName>
    <definedName name="T25.1?axis?ПРД?БАЗ">'[27]25.1'!$J$8:$J$22,'[27]25.1'!$H$8:$H$22,'[27]25.1'!$F$8:$F$22,'[27]25.1'!$D$8:$D$22,'[27]25.1'!$L$8:$L$22</definedName>
    <definedName name="T25.1?axis?ПРД?РЕГ">'[27]25.1'!$K$8:$K$22,'[27]25.1'!$I$8:$I$22,'[27]25.1'!$G$8:$G$22,'[27]25.1'!$E$8:$E$22,'[27]25.1'!$M$8:$M$22</definedName>
    <definedName name="T25.1?unit?РУБ.ГКАЛ">'[27]25.1'!$D$8:$M$10,'[27]25.1'!$D$20:$M$22</definedName>
    <definedName name="T26_Protection" localSheetId="47">'[24]26'!$K$34:$N$36,'[24]26'!$B$22:$B$24,P1_T26_Protection,P2_T26_Protection</definedName>
    <definedName name="T26_Protection">'[24]26'!$K$34:$N$36,'[24]26'!$B$22:$B$24,P1_T26_Protection,P2_T26_Protection</definedName>
    <definedName name="T26?axis?ПРД?БАЗ">'[3]26'!$I$6:$J$20,'[3]26'!$F$6:$G$20</definedName>
    <definedName name="T26?axis?ПРД?ПРЕД">'[3]26'!$K$6:$L$20,'[3]26'!$D$6:$E$20</definedName>
    <definedName name="T26?axis?ПФ?ПЛАН">'[3]26'!$I$6:$I$20,'[3]26'!$D$6:$D$20,'[3]26'!$K$6:$K$20,'[3]26'!$F$6:$F$20</definedName>
    <definedName name="T26?axis?ПФ?ФАКТ">'[3]26'!$J$6:$J$20,'[3]26'!$E$6:$E$20,'[3]26'!$L$6:$L$20,'[3]26'!$G$6:$G$20</definedName>
    <definedName name="T26?axis?R?ВРАС">'[24]26'!$C$34:$N$36,'[24]26'!$C$22:$N$24</definedName>
    <definedName name="T26?axis?R?ВРАС?">'[24]26'!$B$34:$B$36,'[24]26'!$B$22:$B$24</definedName>
    <definedName name="T26?Data">'[3]26'!$D$6:$L$8, '[3]26'!$D$10:$L$20</definedName>
    <definedName name="T26?L1">'[24]26'!$F$8:$N$8,'[24]26'!$C$8:$D$8</definedName>
    <definedName name="T26?L1.1">'[24]26'!$F$10:$N$10,'[24]26'!$C$10:$D$10</definedName>
    <definedName name="T26?L2">'[24]26'!$F$11:$N$11,'[24]26'!$C$11:$D$11</definedName>
    <definedName name="T26?L2.1">'[24]26'!$F$13:$N$13,'[24]26'!$C$13:$D$13</definedName>
    <definedName name="T26?L3">'[24]26'!$F$14:$N$14,'[24]26'!$C$14:$D$14</definedName>
    <definedName name="T26?L4">'[24]26'!$F$15:$N$15,'[24]26'!$C$15:$D$15</definedName>
    <definedName name="T26?L5">'[24]26'!$F$16:$N$16,'[24]26'!$C$16:$D$16</definedName>
    <definedName name="T26?L5.1">'[24]26'!$F$18:$N$18,'[24]26'!$C$18:$D$18</definedName>
    <definedName name="T26?L5.2">'[24]26'!$F$19:$N$19,'[24]26'!$C$19:$D$19</definedName>
    <definedName name="T26?L5.3">'[24]26'!$F$20:$N$20,'[24]26'!$C$20:$D$20</definedName>
    <definedName name="T26?L5.3.x">'[24]26'!$F$22:$N$24,'[24]26'!$C$22:$D$24</definedName>
    <definedName name="T26?L6">'[24]26'!$F$26:$N$26,'[24]26'!$C$26:$D$26</definedName>
    <definedName name="T26?L7">'[24]26'!$F$27:$N$27,'[24]26'!$C$27:$D$27</definedName>
    <definedName name="T26?L7.1">'[24]26'!$F$29:$N$29,'[24]26'!$C$29:$D$29</definedName>
    <definedName name="T26?L7.2">'[24]26'!$F$30:$N$30,'[24]26'!$C$30:$D$30</definedName>
    <definedName name="T26?L7.3">'[24]26'!$F$31:$N$31,'[24]26'!$C$31:$D$31</definedName>
    <definedName name="T26?L7.4">'[24]26'!$F$32:$N$32,'[24]26'!$C$32:$D$32</definedName>
    <definedName name="T26?L7.4.x">'[24]26'!$F$34:$N$36,'[24]26'!$C$34:$D$36</definedName>
    <definedName name="T26?L8">'[24]26'!$F$38:$N$38,'[24]26'!$C$38:$D$38</definedName>
    <definedName name="T26?unit?МКВТЧ">'[27]26'!$D$6:$E$6,'[27]26'!$D$8:$E$10</definedName>
    <definedName name="T27_Name">'[27]27'!$BM$4,'[27]27'!$BG$4,'[27]27'!$BA$4,'[27]27'!$AU$4,'[27]27'!$AO$4,'[27]27'!$AI$4,'[27]27'!$AC$4,'[27]27'!$W$4,'[27]27'!$Q$4,'[27]27'!$K$4,'[27]27'!$BS$4</definedName>
    <definedName name="T27_Protect">'[11]27'!$E$12:$E$13,'[11]27'!$K$4:$AH$4,'[11]27'!$AK$12:$AK$13</definedName>
    <definedName name="T27_Protection" localSheetId="47">'[24]27'!$P$34:$S$36,'[24]27'!$B$22:$B$24,P1_T27_Protection,P2_T27_Protection,P3_T27_Protection</definedName>
    <definedName name="T27_Protection">'[24]27'!$P$34:$S$36,'[24]27'!$B$22:$B$24,P1_T27_Protection,P2_T27_Protection,P3_T27_Protection</definedName>
    <definedName name="T27?axis?ПРД?БАЗ">'[3]27'!$I$6:$J$11,'[3]27'!$F$6:$G$11</definedName>
    <definedName name="T27?axis?ПРД?ПРЕД">'[3]27'!$K$6:$L$11,'[3]27'!$D$6:$E$11</definedName>
    <definedName name="T27?axis?ПФ?ПЛАН">'[3]27'!$I$6:$I$11,'[3]27'!$D$6:$D$11,'[3]27'!$K$6:$K$11,'[3]27'!$F$6:$F$11</definedName>
    <definedName name="T27?axis?ПФ?ФАКТ">'[3]27'!$J$6:$J$11,'[3]27'!$E$6:$E$11,'[3]27'!$L$6:$L$11,'[3]27'!$G$6:$G$11</definedName>
    <definedName name="T27?axis?C?НАП">'[27]27'!$D$8:$BX$34,'[27]27'!$BZ$8:$DC$34</definedName>
    <definedName name="T27?axis?C?НАП?">'[27]27'!$BZ$6:$DC$6,'[27]27'!$D$6:$BX$6</definedName>
    <definedName name="T27?axis?C?ПОТ">'[27]27'!$D$8:$BX$34,'[27]27'!$BZ$8:$DC$34</definedName>
    <definedName name="T27?axis?C?ПОТ?">'[27]27'!$D$5:$BX$5,'[27]27'!$BZ$5:$DC$5</definedName>
    <definedName name="T27?axis?R?ВРАС">'[24]27'!$C$34:$S$36,'[24]27'!$C$22:$S$24</definedName>
    <definedName name="T27?axis?R?ВРАС?">'[24]27'!$B$34:$B$36,'[24]27'!$B$22:$B$24</definedName>
    <definedName name="T27?L1.1">'[24]27'!$F$10:$S$10,'[24]27'!$C$10:$D$10</definedName>
    <definedName name="T27?L2.1">'[24]27'!$F$13:$S$13,'[24]27'!$C$13:$D$13</definedName>
    <definedName name="T27?L3.1" localSheetId="47">'[27]27'!$X$12:$AB$12,'[27]27'!$AD$12:$AH$12,'[27]27'!$AJ$12:$AN$12,'[27]27'!$AP$12:$AT$12,'[27]27'!$AV$12:$AZ$12,P1_T27?L3.1</definedName>
    <definedName name="T27?L3.1">'[27]27'!$X$12:$AB$12,'[27]27'!$AD$12:$AH$12,'[27]27'!$AJ$12:$AN$12,'[27]27'!$AP$12:$AT$12,'[27]27'!$AV$12:$AZ$12,P1_T27?L3.1</definedName>
    <definedName name="T27?L3.2" localSheetId="47">'[27]27'!$AV$13:$AZ$13,'[27]27'!$AP$13:$AT$13,'[27]27'!$AJ$13:$AN$13,'[27]27'!$AD$13:$AH$13,'[27]27'!$X$13:$AB$13,P1_T27?L3.2</definedName>
    <definedName name="T27?L3.2">'[27]27'!$AV$13:$AZ$13,'[27]27'!$AP$13:$AT$13,'[27]27'!$AJ$13:$AN$13,'[27]27'!$AD$13:$AH$13,'[27]27'!$X$13:$AB$13,P1_T27?L3.2</definedName>
    <definedName name="T27?L4.1" localSheetId="47">'[27]27'!$S$16:$V$16,'[27]27'!$Y$16:$AB$16,'[27]27'!$AE$16:$AH$16,'[27]27'!$AK$16:$AN$16,'[27]27'!$AQ$16:$AT$16,'[27]27'!$F$16:$I$16,'[27]27'!$AW$16:$AZ$16,P1_T27?L4.1</definedName>
    <definedName name="T27?L4.1">'[27]27'!$S$16:$V$16,'[27]27'!$Y$16:$AB$16,'[27]27'!$AE$16:$AH$16,'[27]27'!$AK$16:$AN$16,'[27]27'!$AQ$16:$AT$16,'[27]27'!$F$16:$I$16,'[27]27'!$AW$16:$AZ$16,P1_T27?L4.1</definedName>
    <definedName name="T27?L4.1.1" localSheetId="47">'[27]27'!$F$17:$I$17,'[27]27'!$CZ$17:$DC$17,'[27]27'!$CT$17:$CW$17,'[27]27'!$CN$17:$CQ$17,'[27]27'!$CH$17:$CK$17,'[27]27'!$CB$17:$CE$17,'[27]27'!$BU$17:$BX$17,P1_T27?L4.1.1</definedName>
    <definedName name="T27?L4.1.1">'[27]27'!$F$17:$I$17,'[27]27'!$CZ$17:$DC$17,'[27]27'!$CT$17:$CW$17,'[27]27'!$CN$17:$CQ$17,'[27]27'!$CH$17:$CK$17,'[27]27'!$CB$17:$CE$17,'[27]27'!$BU$17:$BX$17,P1_T27?L4.1.1</definedName>
    <definedName name="T27?L4.1.1.1" localSheetId="47">'[27]27'!$AK$18:$AN$18,'[27]27'!$AQ$18:$AT$18,'[27]27'!$AW$18:$AZ$18,'[27]27'!$BC$18:$BF$18,'[27]27'!$BI$18:$BL$18,'[27]27'!$BO$18:$BR$18,'[27]27'!$BU$18:$BX$18,P1_T27?L4.1.1.1</definedName>
    <definedName name="T27?L4.1.1.1">'[27]27'!$AK$18:$AN$18,'[27]27'!$AQ$18:$AT$18,'[27]27'!$AW$18:$AZ$18,'[27]27'!$BC$18:$BF$18,'[27]27'!$BI$18:$BL$18,'[27]27'!$BO$18:$BR$18,'[27]27'!$BU$18:$BX$18,P1_T27?L4.1.1.1</definedName>
    <definedName name="T27?L4.1.2" localSheetId="47">'[27]27'!$BU$19:$BX$19,'[27]27'!$BO$19:$BR$19,'[27]27'!$BI$19:$BL$19,'[27]27'!$BC$19:$BF$19,'[27]27'!$AW$19:$AZ$19,'[27]27'!$AQ$19:$AT$19,'[27]27'!$AK$19:$AN$19,P1_T27?L4.1.2</definedName>
    <definedName name="T27?L4.1.2">'[27]27'!$BU$19:$BX$19,'[27]27'!$BO$19:$BR$19,'[27]27'!$BI$19:$BL$19,'[27]27'!$BC$19:$BF$19,'[27]27'!$AW$19:$AZ$19,'[27]27'!$AQ$19:$AT$19,'[27]27'!$AK$19:$AN$19,P1_T27?L4.1.2</definedName>
    <definedName name="T27?L4.2" localSheetId="47">'[27]27'!$CB$21:$CE$21,'[27]27'!$CH$21:$CK$21,'[27]27'!$CN$21:$CQ$21,'[27]27'!$CT$21:$CW$21,'[27]27'!$E$21:$I$21,'[27]27'!$M$21:$P$21,P1_T27?L4.2</definedName>
    <definedName name="T27?L4.2">'[27]27'!$CB$21:$CE$21,'[27]27'!$CH$21:$CK$21,'[27]27'!$CN$21:$CQ$21,'[27]27'!$CT$21:$CW$21,'[27]27'!$E$21:$I$21,'[27]27'!$M$21:$P$21,P1_T27?L4.2</definedName>
    <definedName name="T27?L5.1">'[27]27'!$BZ$24:$CX$24,'[27]27'!$CZ$24:$DC$24,'[27]27'!$D$24:$I$24,'[27]27'!$K$24:$BX$24</definedName>
    <definedName name="T27?L5.2">'[27]27'!$BZ$25:$CX$25,'[27]27'!$CZ$25:$DC$25,'[27]27'!$D$25:$I$25,'[27]27'!$K$25:$BX$25</definedName>
    <definedName name="T27?L5.3">'[24]27'!$F$20:$S$20,'[24]27'!$C$20:$D$20</definedName>
    <definedName name="T27?L5.3.x">'[24]27'!$F$22:$S$24,'[24]27'!$C$22:$D$24</definedName>
    <definedName name="T27?L6.1">'[27]27'!$BZ$29:$CX$29,'[27]27'!$CZ$29:$DC$29,'[27]27'!$D$29:$I$29,'[27]27'!$K$29:$BX$29</definedName>
    <definedName name="T27?L6.2">'[27]27'!$BZ$30:$CX$30,'[27]27'!$CZ$30:$DC$30,'[27]27'!$D$30:$I$30,'[27]27'!$K$30:$BX$30</definedName>
    <definedName name="T27?L6.2.1">'[27]27'!$BZ$31:$CX$31,'[27]27'!$CZ$31:$DC$31,'[27]27'!$D$31:$I$31,'[27]27'!$K$31:$BX$31</definedName>
    <definedName name="T27?L6.3.1">'[27]27'!$BZ$33:$CX$33,'[27]27'!$CZ$33:$DC$33,'[27]27'!$D$33:$I$33,'[27]27'!$K$33:$BX$33</definedName>
    <definedName name="T27?L6.3.2">'[27]27'!$BZ$34:$CX$34,'[27]27'!$CZ$34:$DC$34,'[27]27'!$D$34:$I$34,'[27]27'!$K$34:$BX$34</definedName>
    <definedName name="T27?L7">'[24]27'!$F$27:$S$27,'[24]27'!$C$27:$D$27</definedName>
    <definedName name="T27?L7.1">'[24]27'!$F$29:$S$29,'[24]27'!$C$29:$D$29</definedName>
    <definedName name="T27?L7.2">'[24]27'!$F$30:$S$30,'[24]27'!$C$30:$D$30</definedName>
    <definedName name="T27?L7.3">'[24]27'!$F$31:$S$31,'[24]27'!$C$31:$D$31</definedName>
    <definedName name="T27?L7.4">'[24]27'!$F$32:$S$32,'[24]27'!$C$32:$D$32</definedName>
    <definedName name="T27?L7.4.x">'[24]27'!$F$34:$S$36,'[24]27'!$C$34:$D$36</definedName>
    <definedName name="T27?L8">'[24]27'!$F$38:$S$38,'[24]27'!$C$38:$D$38</definedName>
    <definedName name="T27?unit?ПРЦ">'[3]27'!$D$7:$H$7, '[3]27'!$I$6:$L$11</definedName>
    <definedName name="T27?unit?РУБ.МВТ">'[27]27'!$D$12:$DC$12,'[27]27'!$D$18:$DC$18,'[27]27'!$D$24:$DC$24</definedName>
    <definedName name="T27?unit?РУБ.МВТЧ">'[27]27'!$D$11:$DC$11,'[27]27'!$D$15:$DC$17,'[27]27'!$D$19:$DC$19,'[27]27'!$D$21:$DC$21,'[27]27'!$D$23:$DC$23,'[27]27'!$D$25:$DC$25,'[27]27'!$D$13:$DC$13</definedName>
    <definedName name="T27?unit?ТРУБ">'[3]27'!$D$6:$H$6, '[3]27'!$D$8:$H$11</definedName>
    <definedName name="T28_1_Name">'[27]28.1'!$K$4,'[27]28.1'!$I$4,'[27]28.1'!$G$4,'[27]28.1'!$M$4</definedName>
    <definedName name="T28_3_Name">'[27]28.3'!$B$83,'[27]28.3'!$B$58,'[27]28.3'!$B$33,'[27]28.3'!$B$108</definedName>
    <definedName name="T28_Copy" localSheetId="15">'[30]27'!#REF!</definedName>
    <definedName name="T28_Copy" localSheetId="21">'[30]27'!#REF!</definedName>
    <definedName name="T28_Copy" localSheetId="46">'[30]27'!#REF!</definedName>
    <definedName name="T28_Copy" localSheetId="47">'[30]27'!#REF!</definedName>
    <definedName name="T28_Copy" localSheetId="7">'[30]27'!#REF!</definedName>
    <definedName name="T28_Copy">'[30]27'!#REF!</definedName>
    <definedName name="T28_Name">'[27]28'!$B$51,'[27]28'!$B$36,'[27]28'!$B$21,'[27]28'!$B$66</definedName>
    <definedName name="T28_Protection" localSheetId="47">P9_T28_Protection,P10_T28_Protection,P11_T28_Protection,'28-1_Ливневка'!P12_T28_Protection</definedName>
    <definedName name="T28_Protection">P9_T28_Protection,P10_T28_Protection,P11_T28_Protection,P12_T28_Protection</definedName>
    <definedName name="T28?axis?ПРД?БАЗ">'[3]28'!$I$6:$J$17,'[3]28'!$F$6:$G$17</definedName>
    <definedName name="T28?axis?ПРД?ПРЕД">'[3]28'!$K$6:$L$17,'[3]28'!$D$6:$E$17</definedName>
    <definedName name="T28?axis?ПФ?ПЛАН">'[3]28'!$I$6:$I$17,'[3]28'!$D$6:$D$17,'[3]28'!$K$6:$K$17,'[3]28'!$F$6:$F$17</definedName>
    <definedName name="T28?axis?ПФ?ФАКТ">'[3]28'!$J$6:$J$17,'[3]28'!$E$6:$E$17,'[3]28'!$L$6:$L$17,'[3]28'!$G$6:$G$17</definedName>
    <definedName name="T28?axis?R?ПАР">'[27]28'!$E$56:$J$62,'[27]28'!$E$41:$J$47,'[27]28'!$E$26:$J$32,'[27]28'!$E$10:$J$16,'[27]28'!$E$71:$J$77</definedName>
    <definedName name="T28?axis?R?ПАР?">'[27]28'!$D$56:$D$62,'[27]28'!$D$41:$D$47,'[27]28'!$D$26:$D$32,'[27]28'!$D$71:$D$77,'[27]28'!$D$10:$D$16</definedName>
    <definedName name="T28?axis?R?ПЭ" localSheetId="47">P2_T28?axis?R?ПЭ,P3_T28?axis?R?ПЭ,P4_T28?axis?R?ПЭ,P5_T28?axis?R?ПЭ,'28-1_Ливневка'!P6_T28?axis?R?ПЭ</definedName>
    <definedName name="T28?axis?R?ПЭ">P2_T28?axis?R?ПЭ,P3_T28?axis?R?ПЭ,P4_T28?axis?R?ПЭ,P5_T28?axis?R?ПЭ,P6_T28?axis?R?ПЭ</definedName>
    <definedName name="T28?axis?R?ПЭ?" localSheetId="47">P2_T28?axis?R?ПЭ?,P3_T28?axis?R?ПЭ?,P4_T28?axis?R?ПЭ?,P5_T28?axis?R?ПЭ?,'28-1_Ливневка'!P6_T28?axis?R?ПЭ?</definedName>
    <definedName name="T28?axis?R?ПЭ?">P2_T28?axis?R?ПЭ?,P3_T28?axis?R?ПЭ?,P4_T28?axis?R?ПЭ?,P5_T28?axis?R?ПЭ?,P6_T28?axis?R?ПЭ?</definedName>
    <definedName name="T28?axis?R?СЦТ">'[27]28'!$E$56:$J$62,'[27]28'!$E$41:$J$47,'[27]28'!$E$26:$J$32,'[27]28'!$E$10:$J$16,'[27]28'!$E$71:$J$77</definedName>
    <definedName name="T28?axis?R?СЦТ?">'[27]28'!$C$56:$C$62,'[27]28'!$C$41:$C$47,'[27]28'!$C$26:$C$32,'[27]28'!$C$71:$C$77,'[27]28'!$C$10:$C$16</definedName>
    <definedName name="T28?Data">'[3]28'!$D$7:$L$15, '[3]28'!$D$17:$L$17</definedName>
    <definedName name="T28?item_ext?ВСЕГО">'[24]28'!$I$8:$I$292,'[24]28'!$F$8:$F$292</definedName>
    <definedName name="T28?item_ext?ТЭ">'[24]28'!$E$8:$E$292,'[24]28'!$H$8:$H$292</definedName>
    <definedName name="T28?item_ext?ЭЭ">'[24]28'!$D$8:$D$292,'[24]28'!$G$8:$G$292</definedName>
    <definedName name="T28?L1.1.x">'[24]28'!$D$16:$I$18,'[24]28'!$D$11:$I$13</definedName>
    <definedName name="T28?L10.1.x">'[24]28'!$D$250:$I$252,'[24]28'!$D$245:$I$247</definedName>
    <definedName name="T28?L11.1.x">'[24]28'!$D$276:$I$278,'[24]28'!$D$271:$I$273</definedName>
    <definedName name="T28?L2.1.x">'[24]28'!$D$42:$I$44,'[24]28'!$D$37:$I$39</definedName>
    <definedName name="T28?L3">'[27]28'!$E$26:$E$32,'[27]28'!$E$10:$E$16,'[27]28'!$E$71:$E$77,'[27]28'!$E$56:$E$62,'[27]28'!$E$41:$E$47</definedName>
    <definedName name="T28?L3.1.x">'[24]28'!$D$68:$I$70,'[24]28'!$D$63:$I$65</definedName>
    <definedName name="T28?L4">'[27]28'!$F$26:$F$32,'[27]28'!$F$10:$F$16,'[27]28'!$F$71:$F$77,'[27]28'!$F$56:$F$62,'[27]28'!$F$41:$F$47</definedName>
    <definedName name="T28?L4.1.x">'[24]28'!$D$94:$I$96,'[24]28'!$D$89:$I$91</definedName>
    <definedName name="T28?L5">'[27]28'!$G$26:$G$32,'[27]28'!$G$10:$G$16,'[27]28'!$G$71:$G$77,'[27]28'!$G$56:$G$62,'[27]28'!$G$41:$G$47</definedName>
    <definedName name="T28?L5.1.x">'[24]28'!$D$120:$I$122,'[24]28'!$D$115:$I$117</definedName>
    <definedName name="T28?L6">'[27]28'!$H$26:$H$32,'[27]28'!$H$10:$H$16,'[27]28'!$H$71:$H$77,'[27]28'!$H$56:$H$62,'[27]28'!$H$41:$H$47</definedName>
    <definedName name="T28?L6.1.x">'[24]28'!$D$146:$I$148,'[24]28'!$D$141:$I$143</definedName>
    <definedName name="T28?L7">'[27]28'!$I$26:$I$32,'[27]28'!$I$10:$I$16,'[27]28'!$I$71:$I$77,'[27]28'!$I$56:$I$62,'[27]28'!$I$41:$I$47</definedName>
    <definedName name="T28?L7.1.x">'[24]28'!$D$172:$I$174,'[24]28'!$D$167:$I$169</definedName>
    <definedName name="T28?L8">'[27]28'!$J$26:$J$32,'[27]28'!$J$10:$J$16,'[27]28'!$J$71:$J$77,'[27]28'!$J$56:$J$62,'[27]28'!$J$41:$J$47</definedName>
    <definedName name="T28?L8.1.x">'[24]28'!$D$198:$I$200,'[24]28'!$D$193:$I$195</definedName>
    <definedName name="T28?L9.1.x">'[24]28'!$D$224:$I$226,'[24]28'!$D$219:$I$221</definedName>
    <definedName name="T28?unit?ГКАЛЧ">'[24]28'!$H$164:$H$187,'[24]28'!$E$164:$E$187</definedName>
    <definedName name="T28?unit?МКВТЧ">'[24]28'!$G$190:$G$213,'[24]28'!$D$190:$D$213</definedName>
    <definedName name="T28?unit?РУБ.ГКАЛ">'[24]28'!$E$216:$E$239,'[24]28'!$E$268:$E$292,'[24]28'!$H$268:$H$292,'[24]28'!$H$216:$H$239</definedName>
    <definedName name="T28?unit?РУБ.ГКАЛЧ.МЕС">'[24]28'!$H$242:$H$265,'[24]28'!$E$242:$E$265</definedName>
    <definedName name="T28?unit?РУБ.ТКВТ.МЕС">'[24]28'!$G$242:$G$265,'[24]28'!$D$242:$D$265</definedName>
    <definedName name="T28?unit?РУБ.ТКВТЧ">'[24]28'!$G$216:$G$239,'[24]28'!$D$268:$D$292,'[24]28'!$G$268:$G$292,'[24]28'!$D$216:$D$239</definedName>
    <definedName name="T28?unit?ТГКАЛ">'[24]28'!$H$190:$H$213,'[24]28'!$E$190:$E$213</definedName>
    <definedName name="T28?unit?ТКВТ">'[24]28'!$G$164:$G$187,'[24]28'!$D$164:$D$187</definedName>
    <definedName name="T28?unit?ТРУБ">'[24]28'!$D$138:$I$161,'[24]28'!$D$8:$I$109</definedName>
    <definedName name="T28.1?axis?ПРД?БАЗ">'[27]28.1'!$K$8:$K$12,'[27]28.1'!$I$8:$I$12,'[27]28.1'!$G$8:$G$12,'[27]28.1'!$D$8:$D$12,'[27]28.1'!$M$8:$M$12</definedName>
    <definedName name="T28.1?axis?ПРД?РЕГ">'[27]28.1'!$L$8:$L$12,'[27]28.1'!$J$8:$J$12,'[27]28.1'!$H$8:$H$12,'[27]28.1'!$E$8:$E$12,'[27]28.1'!$N$8:$N$12</definedName>
    <definedName name="T28.2_Name">'[27]28.2'!$L$4,'[27]28.2'!$J$4,'[27]28.2'!$H$4,'[27]28.2'!$N$4</definedName>
    <definedName name="T28.2?axis?ПРД?БАЗ">'[27]28.2'!$L$8:$L$30,'[27]28.2'!$J$8:$J$30,'[27]28.2'!$H$8:$H$30,'[27]28.2'!$N$8:$N$30,'[27]28.2'!$E$8:$E$30</definedName>
    <definedName name="T28.2?axis?ПРД?РЕГ">'[27]28.2'!$M$8:$M$30,'[27]28.2'!$K$8:$K$30,'[27]28.2'!$I$8:$I$30,'[27]28.2'!$O$8:$O$30,'[27]28.2'!$F$8:$F$30</definedName>
    <definedName name="T28.2?axis?R?ПАР">'[27]28.2'!$E$15:$F$20,'[27]28.2'!$E$22:$F$27,'[27]28.2'!$H$15:$O$20,'[27]28.2'!$H$22:$O$27</definedName>
    <definedName name="T28.2?axis?R?ПАР?">'[27]28.2'!$C$22:$C$27,'[27]28.2'!$C$15:$C$20</definedName>
    <definedName name="T28.2?Data">'[27]28.2'!$E$13:$F$13,'[27]28.2'!$H$13:$O$13,'[27]28.2'!$E$15:$F$20,'[27]28.2'!$H$15:$O$20,'[27]28.2'!$E$22:$F$29,'[27]28.2'!$H$22:$O$29,'[27]28.2'!$E$9:$F$11,'[27]28.2'!$H$9:$O$11</definedName>
    <definedName name="T28.2?L0.1">'[27]28.2'!$E$9:$F$9,'[27]28.2'!$H$9:$O$9</definedName>
    <definedName name="T28.2?L0.2">'[27]28.2'!$H$10:$O$10,'[27]28.2'!$E$10:$F$10</definedName>
    <definedName name="T28.2?L0.3">'[27]28.2'!$H$11:$O$11,'[27]28.2'!$E$11:$F$11</definedName>
    <definedName name="T28.2?L1">'[27]28.2'!$E$13:$F$13,'[27]28.2'!$H$13:$O$13</definedName>
    <definedName name="T28.2?L1.1">'[27]28.2'!$H$15:$O$20,'[27]28.2'!$E$15:$F$20</definedName>
    <definedName name="T28.2?L2">'[27]28.2'!$E$22:$F$26,'[27]28.2'!$H$22:$O$26</definedName>
    <definedName name="T28.2?L3">'[27]28.2'!$E$27:$F$27,'[27]28.2'!$H$27:$O$27</definedName>
    <definedName name="T28.2?L4">'[27]28.2'!$E$28:$F$28,'[27]28.2'!$H$28:$O$28</definedName>
    <definedName name="T28.2?L5">'[27]28.2'!$E$29:$F$29,'[27]28.2'!$H$29:$O$29</definedName>
    <definedName name="T28.2?unit?КГ.ГКАЛ">'[27]28.2'!$E$28:$O$28,'[27]28.2'!$E$13:$O$13</definedName>
    <definedName name="T28.2?unit?РУБ.ГКАЛ">'[27]28.2'!$E$29:$O$29,'[27]28.2'!$E$22:$O$27</definedName>
    <definedName name="T28.3?axis?C?ПАР">'[27]28.3'!$E$89:$S$105,'[27]28.3'!$E$64:$S$80,'[27]28.3'!$E$39:$S$55,'[27]28.3'!$E$14:$S$30,'[27]28.3'!$E$114:$S$130</definedName>
    <definedName name="T28.3?axis?C?ПОТ">'[27]28.3'!$E$89:$S$105,'[27]28.3'!$E$64:$S$80,'[27]28.3'!$E$39:$S$55,'[27]28.3'!$E$14:$S$30,'[27]28.3'!$E$114:$S$130</definedName>
    <definedName name="T28.3?axis?R?СЦТ">'[27]28.3'!$E$89:$S$105,'[27]28.3'!$E$64:$S$80,'[27]28.3'!$E$39:$S$55,'[27]28.3'!$E$14:$S$30,'[27]28.3'!$E$114:$S$130</definedName>
    <definedName name="T28.3?axis?R?СЦТ?">'[27]28.3'!$C$89:$C$105,'[27]28.3'!$C$64:$C$80,'[27]28.3'!$C$39:$C$55,'[27]28.3'!$C$14:$C$30,'[27]28.3'!$C$114:$C$130</definedName>
    <definedName name="T28.3?Data">'[27]28.3'!$E$89:$S$105,'[27]28.3'!$E$64:$S$80,'[27]28.3'!$E$39:$S$55,'[27]28.3'!$E$14:$S$30,'[27]28.3'!$E$114:$S$130</definedName>
    <definedName name="T28.3?L1">'[27]28.3'!$E$39:$S$39,'[27]28.3'!$E$14:$S$14,'[27]28.3'!$E$114:$S$114,'[27]28.3'!$E$89:$S$89,'[27]28.3'!$E$64:$S$64</definedName>
    <definedName name="T28.3?L2">'[27]28.3'!$E$40:$S$40,'[27]28.3'!$E$115:$S$115,'[27]28.3'!$E$15:$S$15,'[27]28.3'!$E$90:$S$90,'[27]28.3'!$E$65:$S$65</definedName>
    <definedName name="T28.3?L3">'[27]28.3'!$E$42:$S$42,'[27]28.3'!$E$17:$S$17,'[27]28.3'!$E$117:$S$117,'[27]28.3'!$E$92:$S$92,'[27]28.3'!$E$67:$S$67</definedName>
    <definedName name="T28.3?L3.1">'[27]28.3'!$E$43:$S$43,'[27]28.3'!$E$118:$S$118,'[27]28.3'!$E$18:$S$18,'[27]28.3'!$E$93:$S$93,'[27]28.3'!$E$68:$S$68</definedName>
    <definedName name="T28.3?L3.2">'[27]28.3'!$E$44:$S$44,'[27]28.3'!$E$19:$S$19,'[27]28.3'!$E$119:$S$119,'[27]28.3'!$E$94:$S$94,'[27]28.3'!$E$69:$S$69</definedName>
    <definedName name="T28.3?L4">'[27]28.3'!$E$46:$S$46,'[27]28.3'!$E$121:$S$121,'[27]28.3'!$E$21:$S$21,'[27]28.3'!$E$96:$S$96,'[27]28.3'!$E$71:$S$71</definedName>
    <definedName name="T28.3?L4.1">'[27]28.3'!$E$47:$S$47,'[27]28.3'!$E$22:$S$22,'[27]28.3'!$E$122:$S$122,'[27]28.3'!$E$97:$S$97,'[27]28.3'!$E$72:$S$72</definedName>
    <definedName name="T28.3?L4.2">'[27]28.3'!$E$48:$S$48,'[27]28.3'!$E$123:$S$123,'[27]28.3'!$E$23:$S$23,'[27]28.3'!$E$98:$S$98,'[27]28.3'!$E$73:$S$73</definedName>
    <definedName name="T28.3?L5">'[27]28.3'!$E$50:$S$50,'[27]28.3'!$E$125:$S$125,'[27]28.3'!$E$25:$S$25,'[27]28.3'!$E$100:$S$100,'[27]28.3'!$E$75:$S$75</definedName>
    <definedName name="T28.3?L6">'[27]28.3'!$E$52:$S$52,'[27]28.3'!$E$27:$S$27,'[27]28.3'!$E$127:$S$127,'[27]28.3'!$E$102:$S$102,'[27]28.3'!$E$77:$S$77</definedName>
    <definedName name="T28.3?L6.1">'[27]28.3'!$E$54:$S$54,'[27]28.3'!$E$129:$S$129,'[27]28.3'!$E$29:$S$29,'[27]28.3'!$E$104:$S$104,'[27]28.3'!$E$79:$S$79</definedName>
    <definedName name="T28.3?L6.2">'[27]28.3'!$E$55:$S$55,'[27]28.3'!$E$30:$S$30,'[27]28.3'!$E$130:$S$130,'[27]28.3'!$E$105:$S$105,'[27]28.3'!$E$80:$S$80</definedName>
    <definedName name="T28.3?unit?ГКАЛЧ">'[27]28.3'!$A$90:$S$90,'[27]28.3'!$A$65:$S$65,'[27]28.3'!$A$40:$S$40,'[27]28.3'!$A$115:$S$115,'[27]28.3'!$A$15:$S$15</definedName>
    <definedName name="T28.3?unit?РУБ.ГКАЛ" localSheetId="47">P1_T28.3?unit?РУБ.ГКАЛ,P2_T28.3?unit?РУБ.ГКАЛ</definedName>
    <definedName name="T28.3?unit?РУБ.ГКАЛ">P1_T28.3?unit?РУБ.ГКАЛ,P2_T28.3?unit?РУБ.ГКАЛ</definedName>
    <definedName name="T28.3?unit?РУБ.ГКАЛЧ">'[27]28.3'!$A$93:$S$93,'[27]28.3'!$A$68:$S$68,'[27]28.3'!$A$43:$S$43,'[27]28.3'!$A$118:$S$118,'[27]28.3'!$A$18:$S$18</definedName>
    <definedName name="T28.3?unit?ТГКАЛ">'[27]28.3'!$A$89:$S$89,'[27]28.3'!$A$64:$S$64,'[27]28.3'!$A$39:$S$39,'[27]28.3'!$A$14:$S$14,'[27]28.3'!$A$114:$S$114</definedName>
    <definedName name="T28.3?unit?ТРУБ">'[27]28.3'!$A$104:$S$105,'[27]28.3'!$A$102:$S$102,'[27]28.3'!$A$79:$S$80,'[27]28.3'!$A$77:$S$77,'[27]28.3'!$A$54:$S$55,'[27]28.3'!$A$52:$S$52,'[27]28.3'!$A$27:$S$27,'[27]28.3'!$A$127:$S$127,'[27]28.3'!$A$29:$S$30,'[27]28.3'!$A$129:$S$130</definedName>
    <definedName name="T29_Copy" localSheetId="15">#REF!</definedName>
    <definedName name="T29_Copy" localSheetId="21">#REF!</definedName>
    <definedName name="T29_Copy" localSheetId="46">#REF!</definedName>
    <definedName name="T29_Copy" localSheetId="47">#REF!</definedName>
    <definedName name="T29_Copy" localSheetId="7">#REF!</definedName>
    <definedName name="T29_Copy">#REF!</definedName>
    <definedName name="T29_Name">'[27]29'!$B$65,'[27]29'!$B$59,'[27]29'!$B$53,'[27]29'!$B$47,'[27]29'!$B$41,'[27]29'!$B$35,'[27]29'!$B$29,'[27]29'!$B$23,'[27]29'!$B$17,'[27]29'!$B$11,'[27]29'!$B$71</definedName>
    <definedName name="T29?axis?ПРД?БАЗ" localSheetId="15">#REF!</definedName>
    <definedName name="T29?axis?ПРД?БАЗ" localSheetId="21">#REF!</definedName>
    <definedName name="T29?axis?ПРД?БАЗ" localSheetId="46">#REF!</definedName>
    <definedName name="T29?axis?ПРД?БАЗ" localSheetId="47">#REF!</definedName>
    <definedName name="T29?axis?ПРД?БАЗ" localSheetId="7">#REF!</definedName>
    <definedName name="T29?axis?ПРД?БАЗ">#REF!</definedName>
    <definedName name="T29?axis?ПРД?ПРЕД" localSheetId="15">#REF!</definedName>
    <definedName name="T29?axis?ПРД?ПРЕД" localSheetId="21">#REF!</definedName>
    <definedName name="T29?axis?ПРД?ПРЕД" localSheetId="46">#REF!</definedName>
    <definedName name="T29?axis?ПРД?ПРЕД" localSheetId="7">#REF!</definedName>
    <definedName name="T29?axis?ПРД?ПРЕД">#REF!</definedName>
    <definedName name="T29?axis?ПРД?РЕГ" localSheetId="15">#REF!</definedName>
    <definedName name="T29?axis?ПРД?РЕГ" localSheetId="21">#REF!</definedName>
    <definedName name="T29?axis?ПРД?РЕГ" localSheetId="46">#REF!</definedName>
    <definedName name="T29?axis?ПРД?РЕГ" localSheetId="7">#REF!</definedName>
    <definedName name="T29?axis?ПРД?РЕГ">#REF!</definedName>
    <definedName name="T29?axis?ПФ?ПЛАН">'[3]29'!$F$5:$F$11,'[3]29'!$D$5:$D$11</definedName>
    <definedName name="T29?axis?ПФ?ФАКТ">'[3]29'!$G$5:$G$11,'[3]29'!$E$5:$E$11</definedName>
    <definedName name="T29?axis?R?ВРАС" localSheetId="15">#REF!</definedName>
    <definedName name="T29?axis?R?ВРАС" localSheetId="21">#REF!</definedName>
    <definedName name="T29?axis?R?ВРАС" localSheetId="46">#REF!</definedName>
    <definedName name="T29?axis?R?ВРАС" localSheetId="47">#REF!</definedName>
    <definedName name="T29?axis?R?ВРАС" localSheetId="7">#REF!</definedName>
    <definedName name="T29?axis?R?ВРАС">#REF!</definedName>
    <definedName name="T29?axis?R?ВРАС?" localSheetId="15">#REF!</definedName>
    <definedName name="T29?axis?R?ВРАС?" localSheetId="21">#REF!</definedName>
    <definedName name="T29?axis?R?ВРАС?" localSheetId="46">#REF!</definedName>
    <definedName name="T29?axis?R?ВРАС?" localSheetId="7">#REF!</definedName>
    <definedName name="T29?axis?R?ВРАС?">#REF!</definedName>
    <definedName name="T29?Data">'[3]29'!$D$6:$H$9, '[3]29'!$D$11:$H$11</definedName>
    <definedName name="T29?item_ext?1СТ" localSheetId="47">'[27]29'!$G$72:$X$72,'[27]29'!$G$78:$X$78,'[27]29'!$G$89:$X$89,P1_T29?item_ext?1СТ</definedName>
    <definedName name="T29?item_ext?1СТ">'[27]29'!$G$72:$X$72,'[27]29'!$G$78:$X$78,'[27]29'!$G$89:$X$89,P1_T29?item_ext?1СТ</definedName>
    <definedName name="T29?item_ext?1СТ.ДО3">'[27]29'!$G$83:$X$83,'[27]29'!$G$97:$X$97</definedName>
    <definedName name="T29?item_ext?1СТ.ДО4">'[27]29'!$G$96:$X$96,'[27]29'!$G$82:$X$82</definedName>
    <definedName name="T29?item_ext?1СТ.ДО5">'[27]29'!$G$95:$X$95,'[27]29'!$G$81:$X$81</definedName>
    <definedName name="T29?item_ext?1СТ.ДО6">'[27]29'!$G$94:$X$94,'[27]29'!$G$80:$X$80</definedName>
    <definedName name="T29?item_ext?1СТ.ДО7">'[27]29'!$G$93:$X$93,'[27]29'!$G$79:$X$79</definedName>
    <definedName name="T29?item_ext?2СТ.М" localSheetId="47">'[27]29'!$G$85:$X$85,'[27]29'!$G$99:$X$99,P1_T29?item_ext?2СТ.М</definedName>
    <definedName name="T29?item_ext?2СТ.М">'[27]29'!$G$85:$X$85,'[27]29'!$G$99:$X$99,P1_T29?item_ext?2СТ.М</definedName>
    <definedName name="T29?item_ext?2СТ.Э" localSheetId="47">'[27]29'!$G$86:$X$86,'[27]29'!$G$100:$X$100,P1_T29?item_ext?2СТ.Э</definedName>
    <definedName name="T29?item_ext?2СТ.Э">'[27]29'!$G$86:$X$86,'[27]29'!$G$100:$X$100,P1_T29?item_ext?2СТ.Э</definedName>
    <definedName name="T29?L1" localSheetId="15">#REF!</definedName>
    <definedName name="T29?L1" localSheetId="21">#REF!</definedName>
    <definedName name="T29?L1" localSheetId="46">#REF!</definedName>
    <definedName name="T29?L1" localSheetId="47">#REF!</definedName>
    <definedName name="T29?L1" localSheetId="7">#REF!</definedName>
    <definedName name="T29?L1">#REF!</definedName>
    <definedName name="T29?L10" localSheetId="47">'[27]29'!$M$60:$X$60,'[27]29'!$M$66:$X$66,'[27]29'!$M$72:$X$72,P1_T29?L10</definedName>
    <definedName name="T29?L10">'[27]29'!$M$60:$X$60,'[27]29'!$M$66:$X$66,'[27]29'!$M$72:$X$72,P1_T29?L10</definedName>
    <definedName name="T29?L4" localSheetId="47">'[27]29'!$G$66,'[27]29'!$G$68:$G$69,'[27]29'!$G$72,'[27]29'!$G$74:$G$75,'[27]29'!$G$78,'[27]29'!$G$85:$G$86,'[27]29'!$G$89,'[27]29'!$G$92,'[27]29'!$G$99:$G$100,'[27]29'!$G$12,'[27]29'!$G$14:$G$15,'[27]29'!$G$18,'[27]29'!$G$20:$G$21,P1_T29?L4</definedName>
    <definedName name="T29?L4">'[27]29'!$G$66,'[27]29'!$G$68:$G$69,'[27]29'!$G$72,'[27]29'!$G$74:$G$75,'[27]29'!$G$78,'[27]29'!$G$85:$G$86,'[27]29'!$G$89,'[27]29'!$G$92,'[27]29'!$G$99:$G$100,'[27]29'!$G$12,'[27]29'!$G$14:$G$15,'[27]29'!$G$18,'[27]29'!$G$20:$G$21,P1_T29?L4</definedName>
    <definedName name="T29?L5" localSheetId="47">'[27]29'!$H$21,'[27]29'!$H$24,'[27]29'!$H$27,'[27]29'!$H$30,'[27]29'!$H$33,'[27]29'!$H$36,'[27]29'!$H$39,'[27]29'!$H$42,'[27]29'!$H$45,P1_T29?L5</definedName>
    <definedName name="T29?L5">'[27]29'!$H$21,'[27]29'!$H$24,'[27]29'!$H$27,'[27]29'!$H$30,'[27]29'!$H$33,'[27]29'!$H$36,'[27]29'!$H$39,'[27]29'!$H$42,'[27]29'!$H$45,P1_T29?L5</definedName>
    <definedName name="T29?L6" localSheetId="47">'[27]29'!$I$56:$L$57,'[27]29'!$I$60:$L$60,'[27]29'!$I$62:$L$63,'[27]29'!$I$66:$L$66,'[27]29'!$I$68:$L$69,P1_T29?L6,P2_T29?L6</definedName>
    <definedName name="T29?L6">'[27]29'!$I$56:$L$57,'[27]29'!$I$60:$L$60,'[27]29'!$I$62:$L$63,'[27]29'!$I$66:$L$66,'[27]29'!$I$68:$L$69,P1_T29?L6,P2_T29?L6</definedName>
    <definedName name="T29?Name" localSheetId="15">#REF!</definedName>
    <definedName name="T29?Name" localSheetId="21">#REF!</definedName>
    <definedName name="T29?Name" localSheetId="46">#REF!</definedName>
    <definedName name="T29?Name" localSheetId="47">#REF!</definedName>
    <definedName name="T29?Name" localSheetId="7">#REF!</definedName>
    <definedName name="T29?Name">#REF!</definedName>
    <definedName name="T29?Table" localSheetId="15">#REF!</definedName>
    <definedName name="T29?Table" localSheetId="21">#REF!</definedName>
    <definedName name="T29?Table" localSheetId="46">#REF!</definedName>
    <definedName name="T29?Table" localSheetId="7">#REF!</definedName>
    <definedName name="T29?Table">#REF!</definedName>
    <definedName name="T29?Title" localSheetId="15">#REF!</definedName>
    <definedName name="T29?Title" localSheetId="21">#REF!</definedName>
    <definedName name="T29?Title" localSheetId="46">#REF!</definedName>
    <definedName name="T29?Title" localSheetId="7">#REF!</definedName>
    <definedName name="T29?Title">#REF!</definedName>
    <definedName name="T29?unit?ТРУБ" localSheetId="15">#REF!</definedName>
    <definedName name="T29?unit?ТРУБ" localSheetId="21">#REF!</definedName>
    <definedName name="T29?unit?ТРУБ" localSheetId="46">#REF!</definedName>
    <definedName name="T29?unit?ТРУБ" localSheetId="7">#REF!</definedName>
    <definedName name="T29?unit?ТРУБ">#REF!</definedName>
    <definedName name="T3_Add_Town" localSheetId="15">#REF!</definedName>
    <definedName name="T3_Add_Town" localSheetId="21">#REF!</definedName>
    <definedName name="T3_Add_Town" localSheetId="46">#REF!</definedName>
    <definedName name="T3_Add_Town" localSheetId="7">#REF!</definedName>
    <definedName name="T3_Add_Town">#REF!</definedName>
    <definedName name="T3_Copy" localSheetId="15">#REF!</definedName>
    <definedName name="T3_Copy" localSheetId="21">#REF!</definedName>
    <definedName name="T3_Copy" localSheetId="46">#REF!</definedName>
    <definedName name="T3_Copy" localSheetId="7">#REF!</definedName>
    <definedName name="T3_Copy">#REF!</definedName>
    <definedName name="T3_Name1">'[27]3'!$B$19,'[27]3'!$B$22</definedName>
    <definedName name="T3_Name2">'[27]3'!$B$27,'[27]3'!$B$30</definedName>
    <definedName name="T3_unpr_all">'[29]3'!$G$14:$L$58,'[29]3'!$N$14:$S$58,'[29]3'!$U$14:$Z$58,'[29]3'!$U$74:$Z$119,'[29]3'!$N$74:$S$119,'[29]3'!$G$74:$L$119,'[29]3'!$G$133:$L$178,'[29]3'!$N$133:$S$178,'[29]3'!$U$133:$Z$178,'[29]3'!$U$192:$Z$237,'[29]3'!$N$192:$S$237,'[29]3'!$G$192:$L$237,'[29]3'!$G$253:$L$298,'[29]3'!$N$253:$S$298,'[29]3'!$U$253:$Z$298</definedName>
    <definedName name="T3_Unprotected" localSheetId="15">#REF!,#REF!,#REF!,#REF!,#REF!,#REF!</definedName>
    <definedName name="T3_Unprotected" localSheetId="21">#REF!,#REF!,#REF!,#REF!,#REF!,#REF!</definedName>
    <definedName name="T3_Unprotected" localSheetId="46">#REF!,#REF!,#REF!,#REF!,#REF!,#REF!</definedName>
    <definedName name="T3_Unprotected" localSheetId="47">#REF!,#REF!,#REF!,#REF!,#REF!,#REF!</definedName>
    <definedName name="T3_Unprotected" localSheetId="7">#REF!,#REF!,#REF!,#REF!,#REF!,#REF!</definedName>
    <definedName name="T3_Unprotected">#REF!,#REF!,#REF!,#REF!,#REF!,#REF!</definedName>
    <definedName name="T3?axis?ПРД?БАЗ">'[3]3'!$I$6:$J$20,'[3]3'!$F$6:$G$20</definedName>
    <definedName name="T3?axis?ПРД?ПРЕД">'[3]3'!$K$6:$L$20,'[3]3'!$D$6:$E$20</definedName>
    <definedName name="T3?axis?ПРД?РЕГ" localSheetId="15">#REF!</definedName>
    <definedName name="T3?axis?ПРД?РЕГ" localSheetId="21">#REF!</definedName>
    <definedName name="T3?axis?ПРД?РЕГ" localSheetId="46">#REF!</definedName>
    <definedName name="T3?axis?ПРД?РЕГ" localSheetId="47">#REF!</definedName>
    <definedName name="T3?axis?ПРД?РЕГ" localSheetId="7">#REF!</definedName>
    <definedName name="T3?axis?ПРД?РЕГ">#REF!</definedName>
    <definedName name="T3?axis?ПРД2?2005" localSheetId="15">#REF!,#REF!</definedName>
    <definedName name="T3?axis?ПРД2?2005" localSheetId="21">#REF!,#REF!</definedName>
    <definedName name="T3?axis?ПРД2?2005" localSheetId="46">#REF!,#REF!</definedName>
    <definedName name="T3?axis?ПРД2?2005" localSheetId="47">#REF!,#REF!</definedName>
    <definedName name="T3?axis?ПРД2?2005" localSheetId="7">#REF!,#REF!</definedName>
    <definedName name="T3?axis?ПРД2?2005">#REF!,#REF!</definedName>
    <definedName name="T3?axis?ПРД2?2006" localSheetId="15">#REF!,#REF!</definedName>
    <definedName name="T3?axis?ПРД2?2006" localSheetId="21">#REF!,#REF!</definedName>
    <definedName name="T3?axis?ПРД2?2006" localSheetId="46">#REF!,#REF!</definedName>
    <definedName name="T3?axis?ПРД2?2006" localSheetId="7">#REF!,#REF!</definedName>
    <definedName name="T3?axis?ПРД2?2006">#REF!,#REF!</definedName>
    <definedName name="T3?axis?ПФ?ПЛАН">'[3]3'!$I$6:$I$20,'[3]3'!$D$6:$D$20,'[3]3'!$K$6:$K$20,'[3]3'!$F$6:$F$20</definedName>
    <definedName name="T3?axis?ПФ?ФАКТ">'[3]3'!$J$6:$J$20,'[3]3'!$E$6:$E$20,'[3]3'!$L$6:$L$20,'[3]3'!$G$6:$G$20</definedName>
    <definedName name="T3?axis?C?РЕШ" localSheetId="15">#REF!,#REF!,#REF!,#REF!</definedName>
    <definedName name="T3?axis?C?РЕШ" localSheetId="21">#REF!,#REF!,#REF!,#REF!</definedName>
    <definedName name="T3?axis?C?РЕШ" localSheetId="46">#REF!,#REF!,#REF!,#REF!</definedName>
    <definedName name="T3?axis?C?РЕШ" localSheetId="47">#REF!,#REF!,#REF!,#REF!</definedName>
    <definedName name="T3?axis?C?РЕШ" localSheetId="7">#REF!,#REF!,#REF!,#REF!</definedName>
    <definedName name="T3?axis?C?РЕШ">#REF!,#REF!,#REF!,#REF!</definedName>
    <definedName name="T3?axis?C?РЕШ?" localSheetId="15">#REF!,#REF!</definedName>
    <definedName name="T3?axis?C?РЕШ?" localSheetId="21">#REF!,#REF!</definedName>
    <definedName name="T3?axis?C?РЕШ?" localSheetId="46">#REF!,#REF!</definedName>
    <definedName name="T3?axis?C?РЕШ?" localSheetId="47">#REF!,#REF!</definedName>
    <definedName name="T3?axis?C?РЕШ?" localSheetId="7">#REF!,#REF!</definedName>
    <definedName name="T3?axis?C?РЕШ?">#REF!,#REF!</definedName>
    <definedName name="T3?axis?R?ВОБР">'[27]3'!$E$19:$N$24,'[27]3'!$E$27:$N$32</definedName>
    <definedName name="T3?axis?R?ВОБР?">'[27]3'!$C$19:$C$24,'[27]3'!$C$27:$C$32</definedName>
    <definedName name="T3?axis?R?ОРГ" localSheetId="15">#REF!</definedName>
    <definedName name="T3?axis?R?ОРГ" localSheetId="21">#REF!</definedName>
    <definedName name="T3?axis?R?ОРГ" localSheetId="46">#REF!</definedName>
    <definedName name="T3?axis?R?ОРГ" localSheetId="47">#REF!</definedName>
    <definedName name="T3?axis?R?ОРГ" localSheetId="7">#REF!</definedName>
    <definedName name="T3?axis?R?ОРГ">#REF!</definedName>
    <definedName name="T3?axis?R?ОРГ?" localSheetId="15">#REF!</definedName>
    <definedName name="T3?axis?R?ОРГ?" localSheetId="21">#REF!</definedName>
    <definedName name="T3?axis?R?ОРГ?" localSheetId="46">#REF!</definedName>
    <definedName name="T3?axis?R?ОРГ?" localSheetId="7">#REF!</definedName>
    <definedName name="T3?axis?R?ОРГ?">#REF!</definedName>
    <definedName name="T3?Data" localSheetId="15">#REF!</definedName>
    <definedName name="T3?Data" localSheetId="21">#REF!</definedName>
    <definedName name="T3?Data" localSheetId="46">#REF!</definedName>
    <definedName name="T3?Data" localSheetId="7">#REF!</definedName>
    <definedName name="T3?Data">#REF!</definedName>
    <definedName name="T3?item_ext?РОСТ" localSheetId="15">#REF!</definedName>
    <definedName name="T3?item_ext?РОСТ" localSheetId="21">#REF!</definedName>
    <definedName name="T3?item_ext?РОСТ" localSheetId="46">#REF!</definedName>
    <definedName name="T3?item_ext?РОСТ" localSheetId="7">#REF!</definedName>
    <definedName name="T3?item_ext?РОСТ">#REF!</definedName>
    <definedName name="T3?Items" localSheetId="15">'[11]3'!#REF!</definedName>
    <definedName name="T3?Items" localSheetId="21">'[11]3'!#REF!</definedName>
    <definedName name="T3?Items" localSheetId="46">'[11]3'!#REF!</definedName>
    <definedName name="T3?Items" localSheetId="47">'[11]3'!#REF!</definedName>
    <definedName name="T3?Items" localSheetId="7">'[11]3'!#REF!</definedName>
    <definedName name="T3?Items">'[11]3'!#REF!</definedName>
    <definedName name="T3?L1" localSheetId="15">#REF!</definedName>
    <definedName name="T3?L1" localSheetId="21">#REF!</definedName>
    <definedName name="T3?L1" localSheetId="46">#REF!</definedName>
    <definedName name="T3?L1" localSheetId="47">#REF!</definedName>
    <definedName name="T3?L1" localSheetId="7">#REF!</definedName>
    <definedName name="T3?L1">#REF!</definedName>
    <definedName name="T3?L1.1" localSheetId="15">#REF!</definedName>
    <definedName name="T3?L1.1" localSheetId="21">#REF!</definedName>
    <definedName name="T3?L1.1" localSheetId="46">#REF!</definedName>
    <definedName name="T3?L1.1" localSheetId="7">#REF!</definedName>
    <definedName name="T3?L1.1">#REF!</definedName>
    <definedName name="T3?L1.1.1" localSheetId="15">#REF!,#REF!</definedName>
    <definedName name="T3?L1.1.1" localSheetId="21">#REF!,#REF!</definedName>
    <definedName name="T3?L1.1.1" localSheetId="46">#REF!,#REF!</definedName>
    <definedName name="T3?L1.1.1" localSheetId="47">#REF!,#REF!</definedName>
    <definedName name="T3?L1.1.1" localSheetId="7">#REF!,#REF!</definedName>
    <definedName name="T3?L1.1.1">#REF!,#REF!</definedName>
    <definedName name="T3?L1.1.1.1" localSheetId="15">#REF!,#REF!</definedName>
    <definedName name="T3?L1.1.1.1" localSheetId="21">#REF!,#REF!</definedName>
    <definedName name="T3?L1.1.1.1" localSheetId="46">#REF!,#REF!</definedName>
    <definedName name="T3?L1.1.1.1" localSheetId="7">#REF!,#REF!</definedName>
    <definedName name="T3?L1.1.1.1">#REF!,#REF!</definedName>
    <definedName name="T3?L1.1.2" localSheetId="15">#REF!,#REF!</definedName>
    <definedName name="T3?L1.1.2" localSheetId="21">#REF!,#REF!</definedName>
    <definedName name="T3?L1.1.2" localSheetId="46">#REF!,#REF!</definedName>
    <definedName name="T3?L1.1.2" localSheetId="7">#REF!,#REF!</definedName>
    <definedName name="T3?L1.1.2">#REF!,#REF!</definedName>
    <definedName name="T3?L1.1.2.1" localSheetId="15">#REF!,#REF!</definedName>
    <definedName name="T3?L1.1.2.1" localSheetId="21">#REF!,#REF!</definedName>
    <definedName name="T3?L1.1.2.1" localSheetId="46">#REF!,#REF!</definedName>
    <definedName name="T3?L1.1.2.1" localSheetId="7">#REF!,#REF!</definedName>
    <definedName name="T3?L1.1.2.1">#REF!,#REF!</definedName>
    <definedName name="T3?L1.1.3" localSheetId="15">#REF!,#REF!</definedName>
    <definedName name="T3?L1.1.3" localSheetId="21">#REF!,#REF!</definedName>
    <definedName name="T3?L1.1.3" localSheetId="46">#REF!,#REF!</definedName>
    <definedName name="T3?L1.1.3" localSheetId="7">#REF!,#REF!</definedName>
    <definedName name="T3?L1.1.3">#REF!,#REF!</definedName>
    <definedName name="T3?L1.1.3.1" localSheetId="15">#REF!,#REF!</definedName>
    <definedName name="T3?L1.1.3.1" localSheetId="21">#REF!,#REF!</definedName>
    <definedName name="T3?L1.1.3.1" localSheetId="46">#REF!,#REF!</definedName>
    <definedName name="T3?L1.1.3.1" localSheetId="7">#REF!,#REF!</definedName>
    <definedName name="T3?L1.1.3.1">#REF!,#REF!</definedName>
    <definedName name="T3?L1.1.3.2" localSheetId="15">#REF!,#REF!</definedName>
    <definedName name="T3?L1.1.3.2" localSheetId="21">#REF!,#REF!</definedName>
    <definedName name="T3?L1.1.3.2" localSheetId="46">#REF!,#REF!</definedName>
    <definedName name="T3?L1.1.3.2" localSheetId="7">#REF!,#REF!</definedName>
    <definedName name="T3?L1.1.3.2">#REF!,#REF!</definedName>
    <definedName name="T3?L1.1.3.3" localSheetId="15">#REF!,#REF!</definedName>
    <definedName name="T3?L1.1.3.3" localSheetId="21">#REF!,#REF!</definedName>
    <definedName name="T3?L1.1.3.3" localSheetId="46">#REF!,#REF!</definedName>
    <definedName name="T3?L1.1.3.3" localSheetId="7">#REF!,#REF!</definedName>
    <definedName name="T3?L1.1.3.3">#REF!,#REF!</definedName>
    <definedName name="T3?L1.1.3.4" localSheetId="15">#REF!,#REF!</definedName>
    <definedName name="T3?L1.1.3.4" localSheetId="21">#REF!,#REF!</definedName>
    <definedName name="T3?L1.1.3.4" localSheetId="46">#REF!,#REF!</definedName>
    <definedName name="T3?L1.1.3.4" localSheetId="7">#REF!,#REF!</definedName>
    <definedName name="T3?L1.1.3.4">#REF!,#REF!</definedName>
    <definedName name="T3?L1.1.3.5" localSheetId="15">#REF!,#REF!</definedName>
    <definedName name="T3?L1.1.3.5" localSheetId="21">#REF!,#REF!</definedName>
    <definedName name="T3?L1.1.3.5" localSheetId="46">#REF!,#REF!</definedName>
    <definedName name="T3?L1.1.3.5" localSheetId="7">#REF!,#REF!</definedName>
    <definedName name="T3?L1.1.3.5">#REF!,#REF!</definedName>
    <definedName name="T3?L1.1.3.6" localSheetId="15">#REF!,#REF!</definedName>
    <definedName name="T3?L1.1.3.6" localSheetId="21">#REF!,#REF!</definedName>
    <definedName name="T3?L1.1.3.6" localSheetId="46">#REF!,#REF!</definedName>
    <definedName name="T3?L1.1.3.6" localSheetId="7">#REF!,#REF!</definedName>
    <definedName name="T3?L1.1.3.6">#REF!,#REF!</definedName>
    <definedName name="T3?L1.1.3.7" localSheetId="15">#REF!,#REF!</definedName>
    <definedName name="T3?L1.1.3.7" localSheetId="21">#REF!,#REF!</definedName>
    <definedName name="T3?L1.1.3.7" localSheetId="46">#REF!,#REF!</definedName>
    <definedName name="T3?L1.1.3.7" localSheetId="7">#REF!,#REF!</definedName>
    <definedName name="T3?L1.1.3.7">#REF!,#REF!</definedName>
    <definedName name="T3?L1.1.3.8" localSheetId="15">#REF!,#REF!</definedName>
    <definedName name="T3?L1.1.3.8" localSheetId="21">#REF!,#REF!</definedName>
    <definedName name="T3?L1.1.3.8" localSheetId="46">#REF!,#REF!</definedName>
    <definedName name="T3?L1.1.3.8" localSheetId="7">#REF!,#REF!</definedName>
    <definedName name="T3?L1.1.3.8">#REF!,#REF!</definedName>
    <definedName name="T3?L1.1.3.9" localSheetId="15">#REF!,#REF!</definedName>
    <definedName name="T3?L1.1.3.9" localSheetId="21">#REF!,#REF!</definedName>
    <definedName name="T3?L1.1.3.9" localSheetId="46">#REF!,#REF!</definedName>
    <definedName name="T3?L1.1.3.9" localSheetId="7">#REF!,#REF!</definedName>
    <definedName name="T3?L1.1.3.9">#REF!,#REF!</definedName>
    <definedName name="T3?L1.4.1">'[27]3'!$E$19:$N$19,'[27]3'!$E$22:$N$22</definedName>
    <definedName name="T3?L1.4.1.а">'[27]3'!$E$20:$N$20,'[27]3'!$E$23:$N$23</definedName>
    <definedName name="T3?L1.4.1.б">'[27]3'!$E$21:$N$21,'[27]3'!$E$24:$N$24</definedName>
    <definedName name="T3?L1.5.1">'[27]3'!$E$27:$N$27,'[27]3'!$E$30:$N$30</definedName>
    <definedName name="T3?L1.5.1.а">'[27]3'!$E$28:$N$28,'[27]3'!$E$31:$N$31</definedName>
    <definedName name="T3?L1.5.1.б">'[27]3'!$E$29:$N$29,'[27]3'!$E$32:$N$32</definedName>
    <definedName name="T3?L10" localSheetId="15">#REF!</definedName>
    <definedName name="T3?L10" localSheetId="21">#REF!</definedName>
    <definedName name="T3?L10" localSheetId="46">#REF!</definedName>
    <definedName name="T3?L10" localSheetId="47">#REF!</definedName>
    <definedName name="T3?L10" localSheetId="7">#REF!</definedName>
    <definedName name="T3?L10">#REF!</definedName>
    <definedName name="T3?L11" localSheetId="15">#REF!</definedName>
    <definedName name="T3?L11" localSheetId="21">#REF!</definedName>
    <definedName name="T3?L11" localSheetId="46">#REF!</definedName>
    <definedName name="T3?L11" localSheetId="7">#REF!</definedName>
    <definedName name="T3?L11">#REF!</definedName>
    <definedName name="T3?L12" localSheetId="15">#REF!</definedName>
    <definedName name="T3?L12" localSheetId="21">#REF!</definedName>
    <definedName name="T3?L12" localSheetId="46">#REF!</definedName>
    <definedName name="T3?L12" localSheetId="7">#REF!</definedName>
    <definedName name="T3?L12">#REF!</definedName>
    <definedName name="T3?L2" localSheetId="15">#REF!</definedName>
    <definedName name="T3?L2" localSheetId="21">#REF!</definedName>
    <definedName name="T3?L2" localSheetId="46">#REF!</definedName>
    <definedName name="T3?L2" localSheetId="7">#REF!</definedName>
    <definedName name="T3?L2">#REF!</definedName>
    <definedName name="T3?L2.1" localSheetId="15">#REF!</definedName>
    <definedName name="T3?L2.1" localSheetId="21">#REF!</definedName>
    <definedName name="T3?L2.1" localSheetId="46">#REF!</definedName>
    <definedName name="T3?L2.1" localSheetId="7">#REF!</definedName>
    <definedName name="T3?L2.1">#REF!</definedName>
    <definedName name="T3?L3" localSheetId="15">#REF!</definedName>
    <definedName name="T3?L3" localSheetId="21">#REF!</definedName>
    <definedName name="T3?L3" localSheetId="46">#REF!</definedName>
    <definedName name="T3?L3" localSheetId="7">#REF!</definedName>
    <definedName name="T3?L3">#REF!</definedName>
    <definedName name="T3?L3.1" localSheetId="15">#REF!</definedName>
    <definedName name="T3?L3.1" localSheetId="21">#REF!</definedName>
    <definedName name="T3?L3.1" localSheetId="46">#REF!</definedName>
    <definedName name="T3?L3.1" localSheetId="7">#REF!</definedName>
    <definedName name="T3?L3.1">#REF!</definedName>
    <definedName name="T3?L4" localSheetId="15">#REF!</definedName>
    <definedName name="T3?L4" localSheetId="21">#REF!</definedName>
    <definedName name="T3?L4" localSheetId="46">#REF!</definedName>
    <definedName name="T3?L4" localSheetId="7">#REF!</definedName>
    <definedName name="T3?L4">#REF!</definedName>
    <definedName name="T3?L5" localSheetId="15">#REF!</definedName>
    <definedName name="T3?L5" localSheetId="21">#REF!</definedName>
    <definedName name="T3?L5" localSheetId="46">#REF!</definedName>
    <definedName name="T3?L5" localSheetId="7">#REF!</definedName>
    <definedName name="T3?L5">#REF!</definedName>
    <definedName name="T3?L6" localSheetId="15">#REF!</definedName>
    <definedName name="T3?L6" localSheetId="21">#REF!</definedName>
    <definedName name="T3?L6" localSheetId="46">#REF!</definedName>
    <definedName name="T3?L6" localSheetId="7">#REF!</definedName>
    <definedName name="T3?L6">#REF!</definedName>
    <definedName name="T3?L7" localSheetId="15">#REF!</definedName>
    <definedName name="T3?L7" localSheetId="21">#REF!</definedName>
    <definedName name="T3?L7" localSheetId="46">#REF!</definedName>
    <definedName name="T3?L7" localSheetId="7">#REF!</definedName>
    <definedName name="T3?L7">#REF!</definedName>
    <definedName name="T3?L8" localSheetId="15">#REF!</definedName>
    <definedName name="T3?L8" localSheetId="21">#REF!</definedName>
    <definedName name="T3?L8" localSheetId="46">#REF!</definedName>
    <definedName name="T3?L8" localSheetId="7">#REF!</definedName>
    <definedName name="T3?L8">#REF!</definedName>
    <definedName name="T3?L9" localSheetId="15">#REF!</definedName>
    <definedName name="T3?L9" localSheetId="21">#REF!</definedName>
    <definedName name="T3?L9" localSheetId="46">#REF!</definedName>
    <definedName name="T3?L9" localSheetId="7">#REF!</definedName>
    <definedName name="T3?L9">#REF!</definedName>
    <definedName name="T3?Name" localSheetId="15">#REF!</definedName>
    <definedName name="T3?Name" localSheetId="21">#REF!</definedName>
    <definedName name="T3?Name" localSheetId="46">#REF!</definedName>
    <definedName name="T3?Name" localSheetId="7">#REF!</definedName>
    <definedName name="T3?Name">#REF!</definedName>
    <definedName name="T3?Table" localSheetId="15">#REF!</definedName>
    <definedName name="T3?Table" localSheetId="21">#REF!</definedName>
    <definedName name="T3?Table" localSheetId="46">#REF!</definedName>
    <definedName name="T3?Table" localSheetId="7">#REF!</definedName>
    <definedName name="T3?Table">#REF!</definedName>
    <definedName name="T3?Title" localSheetId="15">#REF!</definedName>
    <definedName name="T3?Title" localSheetId="21">#REF!</definedName>
    <definedName name="T3?Title" localSheetId="46">#REF!</definedName>
    <definedName name="T3?Title" localSheetId="7">#REF!</definedName>
    <definedName name="T3?Title">#REF!</definedName>
    <definedName name="T3?unit?Г.КВТЧ" localSheetId="15">#REF!</definedName>
    <definedName name="T3?unit?Г.КВТЧ" localSheetId="21">#REF!</definedName>
    <definedName name="T3?unit?Г.КВТЧ" localSheetId="46">#REF!</definedName>
    <definedName name="T3?unit?Г.КВТЧ" localSheetId="7">#REF!</definedName>
    <definedName name="T3?unit?Г.КВТЧ">#REF!</definedName>
    <definedName name="T3?unit?КГ.ГКАЛ">'[3]3'!$D$13:$H$13,   '[3]3'!$D$16:$H$16</definedName>
    <definedName name="T3?unit?КМ">'[27]3'!$E$29:$N$29,'[27]3'!$E$40:$N$40,'[27]3'!$E$32:$N$32</definedName>
    <definedName name="T3?unit?МКВТЧ" localSheetId="15">#REF!</definedName>
    <definedName name="T3?unit?МКВТЧ" localSheetId="21">#REF!</definedName>
    <definedName name="T3?unit?МКВТЧ" localSheetId="46">#REF!</definedName>
    <definedName name="T3?unit?МКВТЧ" localSheetId="47">#REF!</definedName>
    <definedName name="T3?unit?МКВТЧ" localSheetId="7">#REF!</definedName>
    <definedName name="T3?unit?МКВТЧ">#REF!</definedName>
    <definedName name="T3?unit?ПРЦ">'[3]3'!$D$20:$H$20,   '[3]3'!$I$6:$L$20</definedName>
    <definedName name="T3?unit?РУБ.МКБ" localSheetId="15">#REF!,#REF!,#REF!,#REF!</definedName>
    <definedName name="T3?unit?РУБ.МКБ" localSheetId="21">#REF!,#REF!,#REF!,#REF!</definedName>
    <definedName name="T3?unit?РУБ.МКБ" localSheetId="46">#REF!,#REF!,#REF!,#REF!</definedName>
    <definedName name="T3?unit?РУБ.МКБ" localSheetId="47">#REF!,#REF!,#REF!,#REF!</definedName>
    <definedName name="T3?unit?РУБ.МКБ" localSheetId="7">#REF!,#REF!,#REF!,#REF!</definedName>
    <definedName name="T3?unit?РУБ.МКБ">#REF!,#REF!,#REF!,#REF!</definedName>
    <definedName name="T3?unit?ТГКАЛ">'[3]3'!$D$12:$H$12,   '[3]3'!$D$15:$H$15</definedName>
    <definedName name="T3?unit?ТКВТЧ.Г.КМ">'[27]3'!$E$28:$N$28,'[27]3'!$E$39:$N$39,'[27]3'!$E$31:$N$31</definedName>
    <definedName name="T3?unit?ТКВТЧ.Г.ШТ">'[27]3'!$E$20:$N$20,'[27]3'!$E$13:$N$13,'[27]3'!$E$16:$N$16,'[27]3'!$E$23:$N$23</definedName>
    <definedName name="T3?unit?ТРУБ" localSheetId="15">#REF!,#REF!,#REF!,#REF!</definedName>
    <definedName name="T3?unit?ТРУБ" localSheetId="21">#REF!,#REF!,#REF!,#REF!</definedName>
    <definedName name="T3?unit?ТРУБ" localSheetId="46">#REF!,#REF!,#REF!,#REF!</definedName>
    <definedName name="T3?unit?ТРУБ" localSheetId="47">#REF!,#REF!,#REF!,#REF!</definedName>
    <definedName name="T3?unit?ТРУБ" localSheetId="7">#REF!,#REF!,#REF!,#REF!</definedName>
    <definedName name="T3?unit?ТРУБ">#REF!,#REF!,#REF!,#REF!</definedName>
    <definedName name="T3?unit?ТТУТ">'[3]3'!$D$10:$H$11,   '[3]3'!$D$14:$H$14,   '[3]3'!$D$17:$H$19</definedName>
    <definedName name="T3?unit?ТЫС.МКБ" localSheetId="15">#REF!,#REF!,#REF!,#REF!</definedName>
    <definedName name="T3?unit?ТЫС.МКБ" localSheetId="21">#REF!,#REF!,#REF!,#REF!</definedName>
    <definedName name="T3?unit?ТЫС.МКБ" localSheetId="46">#REF!,#REF!,#REF!,#REF!</definedName>
    <definedName name="T3?unit?ТЫС.МКБ" localSheetId="47">#REF!,#REF!,#REF!,#REF!</definedName>
    <definedName name="T3?unit?ТЫС.МКБ" localSheetId="7">#REF!,#REF!,#REF!,#REF!</definedName>
    <definedName name="T3?unit?ТЫС.МКБ">#REF!,#REF!,#REF!,#REF!</definedName>
    <definedName name="T3?unit?ШТ">'[27]3'!$E$21:$N$21,'[27]3'!$E$14:$N$14,'[27]3'!$E$17:$N$17,'[27]3'!$E$24:$N$24</definedName>
    <definedName name="T4_Add_Town" localSheetId="15">#REF!</definedName>
    <definedName name="T4_Add_Town" localSheetId="21">#REF!</definedName>
    <definedName name="T4_Add_Town" localSheetId="46">#REF!</definedName>
    <definedName name="T4_Add_Town" localSheetId="47">#REF!</definedName>
    <definedName name="T4_Add_Town" localSheetId="7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15">#REF!</definedName>
    <definedName name="T4_Copy" localSheetId="21">#REF!</definedName>
    <definedName name="T4_Copy" localSheetId="46">#REF!</definedName>
    <definedName name="T4_Copy" localSheetId="47">#REF!</definedName>
    <definedName name="T4_Copy" localSheetId="7">#REF!</definedName>
    <definedName name="T4_Copy">#REF!</definedName>
    <definedName name="T4_Data">'[11]4'!$F$8:$AN$9,'[11]4'!$F$11:$AN$22,'[11]4'!$F$24:$AN$28</definedName>
    <definedName name="T4_Protect" localSheetId="47">'[11]4'!$AA$24:$AD$28,'[11]4'!$G$11:$J$17,P1_T4_Protect,P2_T4_Protect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[29]4'!$G$192:$L$237,'[29]4'!$G$253:$L$298,'[29]4'!$N$253:$S$298,'[29]4'!$U$253:$Z$298,'[29]4'!$N$192:$S$237,'[29]4'!$U$192:$Z$237,'[29]4'!$N$133:$S$177,'[29]4'!$N$178:$S$178,'[29]4'!$G$133:$L$178,'[29]4'!$U$133:$Z$178,'[29]4'!$G$74:$L$119,'[29]4'!$N$74:$S$119,'[29]4'!$U$74:$Z$119,'[29]4'!$G$13:$L$58,'[29]4'!$N$13:$S$58,'[29]4'!$U$13:$Z$58</definedName>
    <definedName name="T4_Unprotected" localSheetId="15">#REF!,#REF!,#REF!,#REF!,#REF!,#REF!</definedName>
    <definedName name="T4_Unprotected" localSheetId="21">#REF!,#REF!,#REF!,#REF!,#REF!,#REF!</definedName>
    <definedName name="T4_Unprotected" localSheetId="46">#REF!,#REF!,#REF!,#REF!,#REF!,#REF!</definedName>
    <definedName name="T4_Unprotected" localSheetId="47">#REF!,#REF!,#REF!,#REF!,#REF!,#REF!</definedName>
    <definedName name="T4_Unprotected" localSheetId="7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4?axis?ОРГ" localSheetId="15">#REF!</definedName>
    <definedName name="T4?axis?ОРГ" localSheetId="21">#REF!</definedName>
    <definedName name="T4?axis?ОРГ" localSheetId="46">#REF!</definedName>
    <definedName name="T4?axis?ОРГ" localSheetId="47">#REF!</definedName>
    <definedName name="T4?axis?ОРГ" localSheetId="7">#REF!</definedName>
    <definedName name="T4?axis?ОРГ">#REF!</definedName>
    <definedName name="T4?axis?ПРД?БАЗ">'[3]4'!$J$6:$K$81,'[3]4'!$G$6:$H$81</definedName>
    <definedName name="T4?axis?ПРД?ПРЕД">'[3]4'!$L$6:$M$81,'[3]4'!$E$6:$F$81</definedName>
    <definedName name="T4?axis?ПРД?РЕГ" localSheetId="15">#REF!</definedName>
    <definedName name="T4?axis?ПРД?РЕГ" localSheetId="21">#REF!</definedName>
    <definedName name="T4?axis?ПРД?РЕГ" localSheetId="46">#REF!</definedName>
    <definedName name="T4?axis?ПРД?РЕГ" localSheetId="47">#REF!</definedName>
    <definedName name="T4?axis?ПРД?РЕГ" localSheetId="7">#REF!</definedName>
    <definedName name="T4?axis?ПРД?РЕГ">#REF!</definedName>
    <definedName name="T4?axis?ПРД2?2005" localSheetId="15">#REF!,#REF!</definedName>
    <definedName name="T4?axis?ПРД2?2005" localSheetId="21">#REF!,#REF!</definedName>
    <definedName name="T4?axis?ПРД2?2005" localSheetId="46">#REF!,#REF!</definedName>
    <definedName name="T4?axis?ПРД2?2005" localSheetId="47">#REF!,#REF!</definedName>
    <definedName name="T4?axis?ПРД2?2005" localSheetId="7">#REF!,#REF!</definedName>
    <definedName name="T4?axis?ПРД2?2005">#REF!,#REF!</definedName>
    <definedName name="T4?axis?ПРД2?2006" localSheetId="15">#REF!,#REF!</definedName>
    <definedName name="T4?axis?ПРД2?2006" localSheetId="21">#REF!,#REF!</definedName>
    <definedName name="T4?axis?ПРД2?2006" localSheetId="46">#REF!,#REF!</definedName>
    <definedName name="T4?axis?ПРД2?2006" localSheetId="7">#REF!,#REF!</definedName>
    <definedName name="T4?axis?ПРД2?2006">#REF!,#REF!</definedName>
    <definedName name="T4?axis?ПФ?ПЛАН">'[3]4'!$J$6:$J$81,'[3]4'!$E$6:$E$81,'[3]4'!$L$6:$L$81,'[3]4'!$G$6:$G$81</definedName>
    <definedName name="T4?axis?ПФ?ФАКТ">'[3]4'!$K$6:$K$81,'[3]4'!$F$6:$F$81,'[3]4'!$M$6:$M$81,'[3]4'!$H$6:$H$81</definedName>
    <definedName name="T4?axis?C?РЕШ" localSheetId="15">#REF!,#REF!,#REF!,#REF!</definedName>
    <definedName name="T4?axis?C?РЕШ" localSheetId="21">#REF!,#REF!,#REF!,#REF!</definedName>
    <definedName name="T4?axis?C?РЕШ" localSheetId="46">#REF!,#REF!,#REF!,#REF!</definedName>
    <definedName name="T4?axis?C?РЕШ" localSheetId="47">#REF!,#REF!,#REF!,#REF!</definedName>
    <definedName name="T4?axis?C?РЕШ" localSheetId="7">#REF!,#REF!,#REF!,#REF!</definedName>
    <definedName name="T4?axis?C?РЕШ">#REF!,#REF!,#REF!,#REF!</definedName>
    <definedName name="T4?axis?C?РЕШ?" localSheetId="15">#REF!,#REF!</definedName>
    <definedName name="T4?axis?C?РЕШ?" localSheetId="21">#REF!,#REF!</definedName>
    <definedName name="T4?axis?C?РЕШ?" localSheetId="46">#REF!,#REF!</definedName>
    <definedName name="T4?axis?C?РЕШ?" localSheetId="47">#REF!,#REF!</definedName>
    <definedName name="T4?axis?C?РЕШ?" localSheetId="7">#REF!,#REF!</definedName>
    <definedName name="T4?axis?C?РЕШ?">#REF!,#REF!</definedName>
    <definedName name="T4?axis?R?ВТОП">'[3]4'!$E$7:$M$10,   '[3]4'!$E$14:$M$17,   '[3]4'!$E$20:$M$23,   '[3]4'!$E$26:$M$29,   '[3]4'!$E$32:$M$35,   '[3]4'!$E$38:$M$41,   '[3]4'!$E$45:$M$48,   '[3]4'!$E$51:$M$54,   '[3]4'!$E$58:$M$61,   '[3]4'!$E$65:$M$68,   '[3]4'!$E$72:$M$75</definedName>
    <definedName name="T4?axis?R?ВТОП?">'[3]4'!$C$7:$C$10,   '[3]4'!$C$14:$C$17,   '[3]4'!$C$20:$C$23,   '[3]4'!$C$26:$C$29,   '[3]4'!$C$32:$C$35,   '[3]4'!$C$38:$C$41,   '[3]4'!$C$45:$C$48,   '[3]4'!$C$51:$C$54,   '[3]4'!$C$58:$C$61,   '[3]4'!$C$65:$C$68,   '[3]4'!$C$72:$C$75</definedName>
    <definedName name="T4?axis?R?ОРГ?" localSheetId="15">#REF!</definedName>
    <definedName name="T4?axis?R?ОРГ?" localSheetId="21">#REF!</definedName>
    <definedName name="T4?axis?R?ОРГ?" localSheetId="46">#REF!</definedName>
    <definedName name="T4?axis?R?ОРГ?" localSheetId="47">#REF!</definedName>
    <definedName name="T4?axis?R?ОРГ?" localSheetId="7">#REF!</definedName>
    <definedName name="T4?axis?R?ОРГ?">#REF!</definedName>
    <definedName name="T4?Data">'[3]4'!$E$6:$M$11, '[3]4'!$E$13:$M$17, '[3]4'!$E$20:$M$23, '[3]4'!$E$26:$M$29, '[3]4'!$E$32:$M$35, '[3]4'!$E$37:$M$42, '[3]4'!$E$45:$M$48, '[3]4'!$E$50:$M$55, '[3]4'!$E$57:$M$62, '[3]4'!$E$64:$M$69, '[3]4'!$E$72:$M$75, '[3]4'!$E$77:$M$78, '[3]4'!$E$80:$M$80</definedName>
    <definedName name="T4?item_ext?РОСТ" localSheetId="15">#REF!</definedName>
    <definedName name="T4?item_ext?РОСТ" localSheetId="21">#REF!</definedName>
    <definedName name="T4?item_ext?РОСТ" localSheetId="46">#REF!</definedName>
    <definedName name="T4?item_ext?РОСТ" localSheetId="47">#REF!</definedName>
    <definedName name="T4?item_ext?РОСТ" localSheetId="7">#REF!</definedName>
    <definedName name="T4?item_ext?РОСТ">#REF!</definedName>
    <definedName name="T4?L1" localSheetId="15">#REF!</definedName>
    <definedName name="T4?L1" localSheetId="21">#REF!</definedName>
    <definedName name="T4?L1" localSheetId="46">#REF!</definedName>
    <definedName name="T4?L1" localSheetId="7">#REF!</definedName>
    <definedName name="T4?L1">#REF!</definedName>
    <definedName name="T4?L1.1" localSheetId="15">#REF!</definedName>
    <definedName name="T4?L1.1" localSheetId="21">#REF!</definedName>
    <definedName name="T4?L1.1" localSheetId="46">#REF!</definedName>
    <definedName name="T4?L1.1" localSheetId="7">#REF!</definedName>
    <definedName name="T4?L1.1">#REF!</definedName>
    <definedName name="T4?L1.1.1" localSheetId="15">#REF!,#REF!</definedName>
    <definedName name="T4?L1.1.1" localSheetId="21">#REF!,#REF!</definedName>
    <definedName name="T4?L1.1.1" localSheetId="46">#REF!,#REF!</definedName>
    <definedName name="T4?L1.1.1" localSheetId="47">#REF!,#REF!</definedName>
    <definedName name="T4?L1.1.1" localSheetId="7">#REF!,#REF!</definedName>
    <definedName name="T4?L1.1.1">#REF!,#REF!</definedName>
    <definedName name="T4?L1.1.1.1" localSheetId="15">#REF!,#REF!</definedName>
    <definedName name="T4?L1.1.1.1" localSheetId="21">#REF!,#REF!</definedName>
    <definedName name="T4?L1.1.1.1" localSheetId="46">#REF!,#REF!</definedName>
    <definedName name="T4?L1.1.1.1" localSheetId="7">#REF!,#REF!</definedName>
    <definedName name="T4?L1.1.1.1">#REF!,#REF!</definedName>
    <definedName name="T4?L1.1.2" localSheetId="15">#REF!,#REF!</definedName>
    <definedName name="T4?L1.1.2" localSheetId="21">#REF!,#REF!</definedName>
    <definedName name="T4?L1.1.2" localSheetId="46">#REF!,#REF!</definedName>
    <definedName name="T4?L1.1.2" localSheetId="7">#REF!,#REF!</definedName>
    <definedName name="T4?L1.1.2">#REF!,#REF!</definedName>
    <definedName name="T4?L1.1.2.1" localSheetId="15">#REF!,#REF!</definedName>
    <definedName name="T4?L1.1.2.1" localSheetId="21">#REF!,#REF!</definedName>
    <definedName name="T4?L1.1.2.1" localSheetId="46">#REF!,#REF!</definedName>
    <definedName name="T4?L1.1.2.1" localSheetId="7">#REF!,#REF!</definedName>
    <definedName name="T4?L1.1.2.1">#REF!,#REF!</definedName>
    <definedName name="T4?L1.1.3" localSheetId="15">#REF!,#REF!</definedName>
    <definedName name="T4?L1.1.3" localSheetId="21">#REF!,#REF!</definedName>
    <definedName name="T4?L1.1.3" localSheetId="46">#REF!,#REF!</definedName>
    <definedName name="T4?L1.1.3" localSheetId="7">#REF!,#REF!</definedName>
    <definedName name="T4?L1.1.3">#REF!,#REF!</definedName>
    <definedName name="T4?L1.1.3.1" localSheetId="15">#REF!,#REF!</definedName>
    <definedName name="T4?L1.1.3.1" localSheetId="21">#REF!,#REF!</definedName>
    <definedName name="T4?L1.1.3.1" localSheetId="46">#REF!,#REF!</definedName>
    <definedName name="T4?L1.1.3.1" localSheetId="7">#REF!,#REF!</definedName>
    <definedName name="T4?L1.1.3.1">#REF!,#REF!</definedName>
    <definedName name="T4?L1.1.3.2" localSheetId="15">#REF!,#REF!</definedName>
    <definedName name="T4?L1.1.3.2" localSheetId="21">#REF!,#REF!</definedName>
    <definedName name="T4?L1.1.3.2" localSheetId="46">#REF!,#REF!</definedName>
    <definedName name="T4?L1.1.3.2" localSheetId="7">#REF!,#REF!</definedName>
    <definedName name="T4?L1.1.3.2">#REF!,#REF!</definedName>
    <definedName name="T4?L1.1.3.3" localSheetId="15">#REF!,#REF!</definedName>
    <definedName name="T4?L1.1.3.3" localSheetId="21">#REF!,#REF!</definedName>
    <definedName name="T4?L1.1.3.3" localSheetId="46">#REF!,#REF!</definedName>
    <definedName name="T4?L1.1.3.3" localSheetId="7">#REF!,#REF!</definedName>
    <definedName name="T4?L1.1.3.3">#REF!,#REF!</definedName>
    <definedName name="T4?L1.1.3.4" localSheetId="15">#REF!,#REF!</definedName>
    <definedName name="T4?L1.1.3.4" localSheetId="21">#REF!,#REF!</definedName>
    <definedName name="T4?L1.1.3.4" localSheetId="46">#REF!,#REF!</definedName>
    <definedName name="T4?L1.1.3.4" localSheetId="7">#REF!,#REF!</definedName>
    <definedName name="T4?L1.1.3.4">#REF!,#REF!</definedName>
    <definedName name="T4?L1.1.3.5" localSheetId="15">#REF!,#REF!</definedName>
    <definedName name="T4?L1.1.3.5" localSheetId="21">#REF!,#REF!</definedName>
    <definedName name="T4?L1.1.3.5" localSheetId="46">#REF!,#REF!</definedName>
    <definedName name="T4?L1.1.3.5" localSheetId="7">#REF!,#REF!</definedName>
    <definedName name="T4?L1.1.3.5">#REF!,#REF!</definedName>
    <definedName name="T4?L1.1.3.6" localSheetId="15">#REF!,#REF!</definedName>
    <definedName name="T4?L1.1.3.6" localSheetId="21">#REF!,#REF!</definedName>
    <definedName name="T4?L1.1.3.6" localSheetId="46">#REF!,#REF!</definedName>
    <definedName name="T4?L1.1.3.6" localSheetId="7">#REF!,#REF!</definedName>
    <definedName name="T4?L1.1.3.6">#REF!,#REF!</definedName>
    <definedName name="T4?L1.1.3.7" localSheetId="15">#REF!,#REF!</definedName>
    <definedName name="T4?L1.1.3.7" localSheetId="21">#REF!,#REF!</definedName>
    <definedName name="T4?L1.1.3.7" localSheetId="46">#REF!,#REF!</definedName>
    <definedName name="T4?L1.1.3.7" localSheetId="7">#REF!,#REF!</definedName>
    <definedName name="T4?L1.1.3.7">#REF!,#REF!</definedName>
    <definedName name="T4?L1.1.3.8" localSheetId="15">#REF!,#REF!</definedName>
    <definedName name="T4?L1.1.3.8" localSheetId="21">#REF!,#REF!</definedName>
    <definedName name="T4?L1.1.3.8" localSheetId="46">#REF!,#REF!</definedName>
    <definedName name="T4?L1.1.3.8" localSheetId="7">#REF!,#REF!</definedName>
    <definedName name="T4?L1.1.3.8">#REF!,#REF!</definedName>
    <definedName name="T4?L1.1.ВСЕГО">'[27]4'!$D$9:$G$9,'[27]4'!$I$9:$L$9</definedName>
    <definedName name="T4?L1.2" localSheetId="15">#REF!</definedName>
    <definedName name="T4?L1.2" localSheetId="21">#REF!</definedName>
    <definedName name="T4?L1.2" localSheetId="46">#REF!</definedName>
    <definedName name="T4?L1.2" localSheetId="47">#REF!</definedName>
    <definedName name="T4?L1.2" localSheetId="7">#REF!</definedName>
    <definedName name="T4?L1.2">#REF!</definedName>
    <definedName name="T4?L10" localSheetId="15">#REF!</definedName>
    <definedName name="T4?L10" localSheetId="21">#REF!</definedName>
    <definedName name="T4?L10" localSheetId="46">#REF!</definedName>
    <definedName name="T4?L10" localSheetId="7">#REF!</definedName>
    <definedName name="T4?L10">#REF!</definedName>
    <definedName name="T4?L10.1" localSheetId="15">#REF!</definedName>
    <definedName name="T4?L10.1" localSheetId="21">#REF!</definedName>
    <definedName name="T4?L10.1" localSheetId="46">#REF!</definedName>
    <definedName name="T4?L10.1" localSheetId="7">#REF!</definedName>
    <definedName name="T4?L10.1">#REF!</definedName>
    <definedName name="T4?L10.2" localSheetId="15">#REF!</definedName>
    <definedName name="T4?L10.2" localSheetId="21">#REF!</definedName>
    <definedName name="T4?L10.2" localSheetId="46">#REF!</definedName>
    <definedName name="T4?L10.2" localSheetId="7">#REF!</definedName>
    <definedName name="T4?L10.2">#REF!</definedName>
    <definedName name="T4?L11.1" localSheetId="15">#REF!</definedName>
    <definedName name="T4?L11.1" localSheetId="21">#REF!</definedName>
    <definedName name="T4?L11.1" localSheetId="46">#REF!</definedName>
    <definedName name="T4?L11.1" localSheetId="7">#REF!</definedName>
    <definedName name="T4?L11.1">#REF!</definedName>
    <definedName name="T4?L12" localSheetId="15">#REF!</definedName>
    <definedName name="T4?L12" localSheetId="21">#REF!</definedName>
    <definedName name="T4?L12" localSheetId="46">#REF!</definedName>
    <definedName name="T4?L12" localSheetId="7">#REF!</definedName>
    <definedName name="T4?L12">#REF!</definedName>
    <definedName name="T4?L13" localSheetId="15">#REF!</definedName>
    <definedName name="T4?L13" localSheetId="21">#REF!</definedName>
    <definedName name="T4?L13" localSheetId="46">#REF!</definedName>
    <definedName name="T4?L13" localSheetId="7">#REF!</definedName>
    <definedName name="T4?L13">#REF!</definedName>
    <definedName name="T4?L14" localSheetId="15">#REF!</definedName>
    <definedName name="T4?L14" localSheetId="21">#REF!</definedName>
    <definedName name="T4?L14" localSheetId="46">#REF!</definedName>
    <definedName name="T4?L14" localSheetId="7">#REF!</definedName>
    <definedName name="T4?L14">#REF!</definedName>
    <definedName name="T4?L2" localSheetId="15">#REF!</definedName>
    <definedName name="T4?L2" localSheetId="21">#REF!</definedName>
    <definedName name="T4?L2" localSheetId="46">#REF!</definedName>
    <definedName name="T4?L2" localSheetId="7">#REF!</definedName>
    <definedName name="T4?L2">#REF!</definedName>
    <definedName name="T4?L2.1" localSheetId="15">#REF!</definedName>
    <definedName name="T4?L2.1" localSheetId="21">#REF!</definedName>
    <definedName name="T4?L2.1" localSheetId="46">#REF!</definedName>
    <definedName name="T4?L2.1" localSheetId="7">#REF!</definedName>
    <definedName name="T4?L2.1">#REF!</definedName>
    <definedName name="T4?L3.1" localSheetId="15">#REF!</definedName>
    <definedName name="T4?L3.1" localSheetId="21">#REF!</definedName>
    <definedName name="T4?L3.1" localSheetId="46">#REF!</definedName>
    <definedName name="T4?L3.1" localSheetId="7">#REF!</definedName>
    <definedName name="T4?L3.1">#REF!</definedName>
    <definedName name="T4?L4">'[27]4'!$D$20:$G$20,'[27]4'!$I$20:$L$20</definedName>
    <definedName name="T4?L4.1" localSheetId="15">#REF!</definedName>
    <definedName name="T4?L4.1" localSheetId="21">#REF!</definedName>
    <definedName name="T4?L4.1" localSheetId="46">#REF!</definedName>
    <definedName name="T4?L4.1" localSheetId="47">#REF!</definedName>
    <definedName name="T4?L4.1" localSheetId="7">#REF!</definedName>
    <definedName name="T4?L4.1">#REF!</definedName>
    <definedName name="T4?L5.1" localSheetId="15">#REF!</definedName>
    <definedName name="T4?L5.1" localSheetId="21">#REF!</definedName>
    <definedName name="T4?L5.1" localSheetId="46">#REF!</definedName>
    <definedName name="T4?L5.1" localSheetId="7">#REF!</definedName>
    <definedName name="T4?L5.1">#REF!</definedName>
    <definedName name="T4?L6" localSheetId="15">#REF!</definedName>
    <definedName name="T4?L6" localSheetId="21">#REF!</definedName>
    <definedName name="T4?L6" localSheetId="46">#REF!</definedName>
    <definedName name="T4?L6" localSheetId="7">#REF!</definedName>
    <definedName name="T4?L6">#REF!</definedName>
    <definedName name="T4?L6.1" localSheetId="15">#REF!</definedName>
    <definedName name="T4?L6.1" localSheetId="21">#REF!</definedName>
    <definedName name="T4?L6.1" localSheetId="46">#REF!</definedName>
    <definedName name="T4?L6.1" localSheetId="7">#REF!</definedName>
    <definedName name="T4?L6.1">#REF!</definedName>
    <definedName name="T4?L6.2" localSheetId="15">#REF!</definedName>
    <definedName name="T4?L6.2" localSheetId="21">#REF!</definedName>
    <definedName name="T4?L6.2" localSheetId="46">#REF!</definedName>
    <definedName name="T4?L6.2" localSheetId="7">#REF!</definedName>
    <definedName name="T4?L6.2">#REF!</definedName>
    <definedName name="T4?L7.1" localSheetId="15">#REF!</definedName>
    <definedName name="T4?L7.1" localSheetId="21">#REF!</definedName>
    <definedName name="T4?L7.1" localSheetId="46">#REF!</definedName>
    <definedName name="T4?L7.1" localSheetId="7">#REF!</definedName>
    <definedName name="T4?L7.1">#REF!</definedName>
    <definedName name="T4?L8" localSheetId="15">#REF!</definedName>
    <definedName name="T4?L8" localSheetId="21">#REF!</definedName>
    <definedName name="T4?L8" localSheetId="46">#REF!</definedName>
    <definedName name="T4?L8" localSheetId="7">#REF!</definedName>
    <definedName name="T4?L8">#REF!</definedName>
    <definedName name="T4?L8.1" localSheetId="15">#REF!</definedName>
    <definedName name="T4?L8.1" localSheetId="21">#REF!</definedName>
    <definedName name="T4?L8.1" localSheetId="46">#REF!</definedName>
    <definedName name="T4?L8.1" localSheetId="7">#REF!</definedName>
    <definedName name="T4?L8.1">#REF!</definedName>
    <definedName name="T4?L8.2" localSheetId="15">#REF!</definedName>
    <definedName name="T4?L8.2" localSheetId="21">#REF!</definedName>
    <definedName name="T4?L8.2" localSheetId="46">#REF!</definedName>
    <definedName name="T4?L8.2" localSheetId="7">#REF!</definedName>
    <definedName name="T4?L8.2">#REF!</definedName>
    <definedName name="T4?L9" localSheetId="15">#REF!</definedName>
    <definedName name="T4?L9" localSheetId="21">#REF!</definedName>
    <definedName name="T4?L9" localSheetId="46">#REF!</definedName>
    <definedName name="T4?L9" localSheetId="7">#REF!</definedName>
    <definedName name="T4?L9">#REF!</definedName>
    <definedName name="T4?L9.1" localSheetId="15">#REF!</definedName>
    <definedName name="T4?L9.1" localSheetId="21">#REF!</definedName>
    <definedName name="T4?L9.1" localSheetId="46">#REF!</definedName>
    <definedName name="T4?L9.1" localSheetId="7">#REF!</definedName>
    <definedName name="T4?L9.1">#REF!</definedName>
    <definedName name="T4?L9.2" localSheetId="15">#REF!</definedName>
    <definedName name="T4?L9.2" localSheetId="21">#REF!</definedName>
    <definedName name="T4?L9.2" localSheetId="46">#REF!</definedName>
    <definedName name="T4?L9.2" localSheetId="7">#REF!</definedName>
    <definedName name="T4?L9.2">#REF!</definedName>
    <definedName name="T4?Name" localSheetId="15">#REF!</definedName>
    <definedName name="T4?Name" localSheetId="21">#REF!</definedName>
    <definedName name="T4?Name" localSheetId="46">#REF!</definedName>
    <definedName name="T4?Name" localSheetId="7">#REF!</definedName>
    <definedName name="T4?Name">#REF!</definedName>
    <definedName name="T4?Table" localSheetId="15">#REF!</definedName>
    <definedName name="T4?Table" localSheetId="21">#REF!</definedName>
    <definedName name="T4?Table" localSheetId="46">#REF!</definedName>
    <definedName name="T4?Table" localSheetId="7">#REF!</definedName>
    <definedName name="T4?Table">#REF!</definedName>
    <definedName name="T4?Title" localSheetId="15">#REF!</definedName>
    <definedName name="T4?Title" localSheetId="21">#REF!</definedName>
    <definedName name="T4?Title" localSheetId="46">#REF!</definedName>
    <definedName name="T4?Title" localSheetId="7">#REF!</definedName>
    <definedName name="T4?Title">#REF!</definedName>
    <definedName name="T4?unit?МКВТЧ" localSheetId="15">#REF!</definedName>
    <definedName name="T4?unit?МКВТЧ" localSheetId="21">#REF!</definedName>
    <definedName name="T4?unit?МКВТЧ" localSheetId="46">#REF!</definedName>
    <definedName name="T4?unit?МКВТЧ" localSheetId="7">#REF!</definedName>
    <definedName name="T4?unit?МКВТЧ">#REF!</definedName>
    <definedName name="T4?unit?ММКБ" localSheetId="15">#REF!</definedName>
    <definedName name="T4?unit?ММКБ" localSheetId="21">#REF!</definedName>
    <definedName name="T4?unit?ММКБ" localSheetId="46">#REF!</definedName>
    <definedName name="T4?unit?ММКБ" localSheetId="7">#REF!</definedName>
    <definedName name="T4?unit?ММКБ">#REF!</definedName>
    <definedName name="T4?unit?ПРЦ">'[3]4'!$J$6:$M$81, '[3]4'!$E$13:$I$17, '[3]4'!$E$78:$I$78</definedName>
    <definedName name="T4?unit?РУБ.МКБ">'[3]4'!$E$34:$I$34, '[3]4'!$E$47:$I$47, '[3]4'!$E$74:$I$74</definedName>
    <definedName name="T4?unit?РУБ.ТКВТЧ" localSheetId="15">#REF!</definedName>
    <definedName name="T4?unit?РУБ.ТКВТЧ" localSheetId="21">#REF!</definedName>
    <definedName name="T4?unit?РУБ.ТКВТЧ" localSheetId="46">#REF!</definedName>
    <definedName name="T4?unit?РУБ.ТКВТЧ" localSheetId="47">#REF!</definedName>
    <definedName name="T4?unit?РУБ.ТКВТЧ" localSheetId="7">#REF!</definedName>
    <definedName name="T4?unit?РУБ.ТКВТЧ">#REF!</definedName>
    <definedName name="T4?unit?РУБ.ТНТ">'[3]4'!$E$32:$I$33, '[3]4'!$E$35:$I$35, '[3]4'!$E$45:$I$46, '[3]4'!$E$48:$I$48, '[3]4'!$E$72:$I$73, '[3]4'!$E$75:$I$75</definedName>
    <definedName name="T4?unit?РУБ.ТУТ" localSheetId="15">#REF!</definedName>
    <definedName name="T4?unit?РУБ.ТУТ" localSheetId="21">#REF!</definedName>
    <definedName name="T4?unit?РУБ.ТУТ" localSheetId="46">#REF!</definedName>
    <definedName name="T4?unit?РУБ.ТУТ" localSheetId="47">#REF!</definedName>
    <definedName name="T4?unit?РУБ.ТУТ" localSheetId="7">#REF!</definedName>
    <definedName name="T4?unit?РУБ.ТУТ">#REF!</definedName>
    <definedName name="T4?unit?ТРУБ">'[3]4'!$E$37:$I$42, '[3]4'!$E$50:$I$55, '[3]4'!$E$57:$I$62</definedName>
    <definedName name="T4?unit?ТТНТ">'[3]4'!$E$26:$I$27, '[3]4'!$E$29:$I$29</definedName>
    <definedName name="T4?unit?ТТУТ" localSheetId="15">#REF!</definedName>
    <definedName name="T4?unit?ТТУТ" localSheetId="21">#REF!</definedName>
    <definedName name="T4?unit?ТТУТ" localSheetId="46">#REF!</definedName>
    <definedName name="T4?unit?ТТУТ" localSheetId="47">#REF!</definedName>
    <definedName name="T4?unit?ТТУТ" localSheetId="7">#REF!</definedName>
    <definedName name="T4?unit?ТТУТ">#REF!</definedName>
    <definedName name="T4?unit?ТЫС.МКБ" localSheetId="15">#REF!,#REF!,#REF!,#REF!</definedName>
    <definedName name="T4?unit?ТЫС.МКБ" localSheetId="21">#REF!,#REF!,#REF!,#REF!</definedName>
    <definedName name="T4?unit?ТЫС.МКБ" localSheetId="46">#REF!,#REF!,#REF!,#REF!</definedName>
    <definedName name="T4?unit?ТЫС.МКБ" localSheetId="47">#REF!,#REF!,#REF!,#REF!</definedName>
    <definedName name="T4?unit?ТЫС.МКБ" localSheetId="7">#REF!,#REF!,#REF!,#REF!</definedName>
    <definedName name="T4?unit?ТЫС.МКБ">#REF!,#REF!,#REF!,#REF!</definedName>
    <definedName name="T4.1?axis?ПРД?БАЗ" localSheetId="15">#REF!</definedName>
    <definedName name="T4.1?axis?ПРД?БАЗ" localSheetId="21">#REF!</definedName>
    <definedName name="T4.1?axis?ПРД?БАЗ" localSheetId="46">#REF!</definedName>
    <definedName name="T4.1?axis?ПРД?БАЗ" localSheetId="47">#REF!</definedName>
    <definedName name="T4.1?axis?ПРД?БАЗ" localSheetId="7">#REF!</definedName>
    <definedName name="T4.1?axis?ПРД?БАЗ">#REF!</definedName>
    <definedName name="T4.1?axis?ПРД?ПРЕД" localSheetId="15">#REF!</definedName>
    <definedName name="T4.1?axis?ПРД?ПРЕД" localSheetId="21">#REF!</definedName>
    <definedName name="T4.1?axis?ПРД?ПРЕД" localSheetId="46">#REF!</definedName>
    <definedName name="T4.1?axis?ПРД?ПРЕД" localSheetId="7">#REF!</definedName>
    <definedName name="T4.1?axis?ПРД?ПРЕД">#REF!</definedName>
    <definedName name="T4.1?axis?ПРД?ПРЕД2" localSheetId="15">#REF!</definedName>
    <definedName name="T4.1?axis?ПРД?ПРЕД2" localSheetId="21">#REF!</definedName>
    <definedName name="T4.1?axis?ПРД?ПРЕД2" localSheetId="46">#REF!</definedName>
    <definedName name="T4.1?axis?ПРД?ПРЕД2" localSheetId="7">#REF!</definedName>
    <definedName name="T4.1?axis?ПРД?ПРЕД2">#REF!</definedName>
    <definedName name="T4.1?axis?ПРД?РЕГ" localSheetId="15">#REF!</definedName>
    <definedName name="T4.1?axis?ПРД?РЕГ" localSheetId="21">#REF!</definedName>
    <definedName name="T4.1?axis?ПРД?РЕГ" localSheetId="46">#REF!</definedName>
    <definedName name="T4.1?axis?ПРД?РЕГ" localSheetId="7">#REF!</definedName>
    <definedName name="T4.1?axis?ПРД?РЕГ">#REF!</definedName>
    <definedName name="T4.1?axis?R?ВТОП">'[3]4.1'!$E$5:$I$8, '[3]4.1'!$E$12:$I$15, '[3]4.1'!$E$18:$I$21</definedName>
    <definedName name="T4.1?axis?R?ВТОП?">'[3]4.1'!$C$5:$C$8, '[3]4.1'!$C$12:$C$15, '[3]4.1'!$C$18:$C$21</definedName>
    <definedName name="T4.1?Data">'[3]4.1'!$E$4:$I$9, '[3]4.1'!$E$11:$I$15, '[3]4.1'!$E$18:$I$21</definedName>
    <definedName name="T4.1?item_ext?СРПРЕД3" localSheetId="15">#REF!</definedName>
    <definedName name="T4.1?item_ext?СРПРЕД3" localSheetId="21">#REF!</definedName>
    <definedName name="T4.1?item_ext?СРПРЕД3" localSheetId="46">#REF!</definedName>
    <definedName name="T4.1?item_ext?СРПРЕД3" localSheetId="47">#REF!</definedName>
    <definedName name="T4.1?item_ext?СРПРЕД3" localSheetId="7">#REF!</definedName>
    <definedName name="T4.1?item_ext?СРПРЕД3">#REF!</definedName>
    <definedName name="T4.1?L1" localSheetId="15">#REF!</definedName>
    <definedName name="T4.1?L1" localSheetId="21">#REF!</definedName>
    <definedName name="T4.1?L1" localSheetId="46">#REF!</definedName>
    <definedName name="T4.1?L1" localSheetId="7">#REF!</definedName>
    <definedName name="T4.1?L1">#REF!</definedName>
    <definedName name="T4.1?L1.1" localSheetId="15">#REF!</definedName>
    <definedName name="T4.1?L1.1" localSheetId="21">#REF!</definedName>
    <definedName name="T4.1?L1.1" localSheetId="46">#REF!</definedName>
    <definedName name="T4.1?L1.1" localSheetId="7">#REF!</definedName>
    <definedName name="T4.1?L1.1">#REF!</definedName>
    <definedName name="T4.1?L1.2" localSheetId="15">#REF!</definedName>
    <definedName name="T4.1?L1.2" localSheetId="21">#REF!</definedName>
    <definedName name="T4.1?L1.2" localSheetId="46">#REF!</definedName>
    <definedName name="T4.1?L1.2" localSheetId="7">#REF!</definedName>
    <definedName name="T4.1?L1.2">#REF!</definedName>
    <definedName name="T4.1?L2" localSheetId="15">#REF!</definedName>
    <definedName name="T4.1?L2" localSheetId="21">#REF!</definedName>
    <definedName name="T4.1?L2" localSheetId="46">#REF!</definedName>
    <definedName name="T4.1?L2" localSheetId="7">#REF!</definedName>
    <definedName name="T4.1?L2">#REF!</definedName>
    <definedName name="T4.1?L3.1" localSheetId="15">#REF!</definedName>
    <definedName name="T4.1?L3.1" localSheetId="21">#REF!</definedName>
    <definedName name="T4.1?L3.1" localSheetId="46">#REF!</definedName>
    <definedName name="T4.1?L3.1" localSheetId="7">#REF!</definedName>
    <definedName name="T4.1?L3.1">#REF!</definedName>
    <definedName name="T4.1?Name" localSheetId="15">#REF!</definedName>
    <definedName name="T4.1?Name" localSheetId="21">#REF!</definedName>
    <definedName name="T4.1?Name" localSheetId="46">#REF!</definedName>
    <definedName name="T4.1?Name" localSheetId="7">#REF!</definedName>
    <definedName name="T4.1?Name">#REF!</definedName>
    <definedName name="T4.1?Table" localSheetId="15">#REF!</definedName>
    <definedName name="T4.1?Table" localSheetId="21">#REF!</definedName>
    <definedName name="T4.1?Table" localSheetId="46">#REF!</definedName>
    <definedName name="T4.1?Table" localSheetId="7">#REF!</definedName>
    <definedName name="T4.1?Table">#REF!</definedName>
    <definedName name="T4.1?Title" localSheetId="15">#REF!</definedName>
    <definedName name="T4.1?Title" localSheetId="21">#REF!</definedName>
    <definedName name="T4.1?Title" localSheetId="46">#REF!</definedName>
    <definedName name="T4.1?Title" localSheetId="7">#REF!</definedName>
    <definedName name="T4.1?Title">#REF!</definedName>
    <definedName name="T4.1?unit?ПРЦ" localSheetId="15">#REF!</definedName>
    <definedName name="T4.1?unit?ПРЦ" localSheetId="21">#REF!</definedName>
    <definedName name="T4.1?unit?ПРЦ" localSheetId="46">#REF!</definedName>
    <definedName name="T4.1?unit?ПРЦ" localSheetId="7">#REF!</definedName>
    <definedName name="T4.1?unit?ПРЦ">#REF!</definedName>
    <definedName name="T4.1?unit?ТТУТ" localSheetId="15">#REF!</definedName>
    <definedName name="T4.1?unit?ТТУТ" localSheetId="21">#REF!</definedName>
    <definedName name="T4.1?unit?ТТУТ" localSheetId="46">#REF!</definedName>
    <definedName name="T4.1?unit?ТТУТ" localSheetId="7">#REF!</definedName>
    <definedName name="T4.1?unit?ТТУТ">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15">#REF!,#REF!,#REF!,#REF!</definedName>
    <definedName name="T5_Protect" localSheetId="21">#REF!,#REF!,#REF!,#REF!</definedName>
    <definedName name="T5_Protect" localSheetId="46">#REF!,#REF!,#REF!,#REF!</definedName>
    <definedName name="T5_Protect" localSheetId="47">#REF!,#REF!,#REF!,#REF!</definedName>
    <definedName name="T5_Protect" localSheetId="7">#REF!,#REF!,#REF!,#REF!</definedName>
    <definedName name="T5_Protect">#REF!,#REF!,#REF!,#REF!</definedName>
    <definedName name="T5_Protected">'[11]5'!$F$11:$AN$22,'[11]5'!$F$24:$AN$28,'[11]5'!$F$8:$AN$9</definedName>
    <definedName name="T5?axis?ПРД?БАЗ">'[3]5'!$N$6:$O$89,'[3]5'!$G$6:$H$89</definedName>
    <definedName name="T5?axis?ПРД?ПРЕД">'[3]5'!$P$6:$Q$89,'[3]5'!$E$6:$F$89</definedName>
    <definedName name="T5?axis?ПРД?РЕГ" localSheetId="15">#REF!</definedName>
    <definedName name="T5?axis?ПРД?РЕГ" localSheetId="21">#REF!</definedName>
    <definedName name="T5?axis?ПРД?РЕГ" localSheetId="46">#REF!</definedName>
    <definedName name="T5?axis?ПРД?РЕГ" localSheetId="47">#REF!</definedName>
    <definedName name="T5?axis?ПРД?РЕГ" localSheetId="7">#REF!</definedName>
    <definedName name="T5?axis?ПРД?РЕГ">#REF!</definedName>
    <definedName name="T5?axis?ПРД?РЕГ.КВ1" localSheetId="15">#REF!</definedName>
    <definedName name="T5?axis?ПРД?РЕГ.КВ1" localSheetId="21">#REF!</definedName>
    <definedName name="T5?axis?ПРД?РЕГ.КВ1" localSheetId="46">#REF!</definedName>
    <definedName name="T5?axis?ПРД?РЕГ.КВ1" localSheetId="7">#REF!</definedName>
    <definedName name="T5?axis?ПРД?РЕГ.КВ1">#REF!</definedName>
    <definedName name="T5?axis?ПРД?РЕГ.КВ2" localSheetId="15">#REF!</definedName>
    <definedName name="T5?axis?ПРД?РЕГ.КВ2" localSheetId="21">#REF!</definedName>
    <definedName name="T5?axis?ПРД?РЕГ.КВ2" localSheetId="46">#REF!</definedName>
    <definedName name="T5?axis?ПРД?РЕГ.КВ2" localSheetId="7">#REF!</definedName>
    <definedName name="T5?axis?ПРД?РЕГ.КВ2">#REF!</definedName>
    <definedName name="T5?axis?ПРД?РЕГ.КВ3" localSheetId="15">#REF!</definedName>
    <definedName name="T5?axis?ПРД?РЕГ.КВ3" localSheetId="21">#REF!</definedName>
    <definedName name="T5?axis?ПРД?РЕГ.КВ3" localSheetId="46">#REF!</definedName>
    <definedName name="T5?axis?ПРД?РЕГ.КВ3" localSheetId="7">#REF!</definedName>
    <definedName name="T5?axis?ПРД?РЕГ.КВ3">#REF!</definedName>
    <definedName name="T5?axis?ПРД?РЕГ.КВ4" localSheetId="15">#REF!</definedName>
    <definedName name="T5?axis?ПРД?РЕГ.КВ4" localSheetId="21">#REF!</definedName>
    <definedName name="T5?axis?ПРД?РЕГ.КВ4" localSheetId="46">#REF!</definedName>
    <definedName name="T5?axis?ПРД?РЕГ.КВ4" localSheetId="7">#REF!</definedName>
    <definedName name="T5?axis?ПРД?РЕГ.КВ4">#REF!</definedName>
    <definedName name="T5?axis?R?ВРАС" localSheetId="15">#REF!</definedName>
    <definedName name="T5?axis?R?ВРАС" localSheetId="21">#REF!</definedName>
    <definedName name="T5?axis?R?ВРАС" localSheetId="46">#REF!</definedName>
    <definedName name="T5?axis?R?ВРАС" localSheetId="7">#REF!</definedName>
    <definedName name="T5?axis?R?ВРАС">#REF!</definedName>
    <definedName name="T5?axis?R?ВРАС?" localSheetId="15">#REF!</definedName>
    <definedName name="T5?axis?R?ВРАС?" localSheetId="21">#REF!</definedName>
    <definedName name="T5?axis?R?ВРАС?" localSheetId="46">#REF!</definedName>
    <definedName name="T5?axis?R?ВРАС?" localSheetId="7">#REF!</definedName>
    <definedName name="T5?axis?R?ВРАС?">#REF!</definedName>
    <definedName name="T5?axis?R?ОС">'[3]5'!$E$7:$Q$18, '[3]5'!$E$21:$Q$32, '[3]5'!$E$35:$Q$46, '[3]5'!$E$49:$Q$60, '[3]5'!$E$63:$Q$74, '[3]5'!$E$77:$Q$88</definedName>
    <definedName name="T5?axis?R?ОС?">'[3]5'!$C$77:$C$88, '[3]5'!$C$63:$C$74, '[3]5'!$C$49:$C$60, '[3]5'!$C$35:$C$46, '[3]5'!$C$21:$C$32, '[3]5'!$C$7:$C$18</definedName>
    <definedName name="T5?Data">'[3]5'!$E$6:$Q$18, '[3]5'!$E$20:$Q$32, '[3]5'!$E$34:$Q$46, '[3]5'!$E$48:$Q$60, '[3]5'!$E$63:$Q$74, '[3]5'!$E$76:$Q$88</definedName>
    <definedName name="T5?item_ext?РОСТ" localSheetId="15">#REF!</definedName>
    <definedName name="T5?item_ext?РОСТ" localSheetId="21">#REF!</definedName>
    <definedName name="T5?item_ext?РОСТ" localSheetId="46">#REF!</definedName>
    <definedName name="T5?item_ext?РОСТ" localSheetId="47">#REF!</definedName>
    <definedName name="T5?item_ext?РОСТ" localSheetId="7">#REF!</definedName>
    <definedName name="T5?item_ext?РОСТ">#REF!</definedName>
    <definedName name="T5?L1" localSheetId="15">#REF!</definedName>
    <definedName name="T5?L1" localSheetId="21">#REF!</definedName>
    <definedName name="T5?L1" localSheetId="46">#REF!</definedName>
    <definedName name="T5?L1" localSheetId="7">#REF!</definedName>
    <definedName name="T5?L1">#REF!</definedName>
    <definedName name="T5?L1.1" localSheetId="15">#REF!</definedName>
    <definedName name="T5?L1.1" localSheetId="21">#REF!</definedName>
    <definedName name="T5?L1.1" localSheetId="46">#REF!</definedName>
    <definedName name="T5?L1.1" localSheetId="7">#REF!</definedName>
    <definedName name="T5?L1.1">#REF!</definedName>
    <definedName name="T5?L1.1.ВСЕГО">'[27]5'!$D$9:$G$9,'[27]5'!$I$9:$L$9</definedName>
    <definedName name="T5?L2" localSheetId="15">#REF!</definedName>
    <definedName name="T5?L2" localSheetId="21">#REF!</definedName>
    <definedName name="T5?L2" localSheetId="46">#REF!</definedName>
    <definedName name="T5?L2" localSheetId="47">#REF!</definedName>
    <definedName name="T5?L2" localSheetId="7">#REF!</definedName>
    <definedName name="T5?L2">#REF!</definedName>
    <definedName name="T5?L2.1" localSheetId="15">#REF!</definedName>
    <definedName name="T5?L2.1" localSheetId="21">#REF!</definedName>
    <definedName name="T5?L2.1" localSheetId="46">#REF!</definedName>
    <definedName name="T5?L2.1" localSheetId="7">#REF!</definedName>
    <definedName name="T5?L2.1">#REF!</definedName>
    <definedName name="T5?L3" localSheetId="15">#REF!</definedName>
    <definedName name="T5?L3" localSheetId="21">#REF!</definedName>
    <definedName name="T5?L3" localSheetId="46">#REF!</definedName>
    <definedName name="T5?L3" localSheetId="7">#REF!</definedName>
    <definedName name="T5?L3">#REF!</definedName>
    <definedName name="T5?L3.1" localSheetId="15">#REF!</definedName>
    <definedName name="T5?L3.1" localSheetId="21">#REF!</definedName>
    <definedName name="T5?L3.1" localSheetId="46">#REF!</definedName>
    <definedName name="T5?L3.1" localSheetId="7">#REF!</definedName>
    <definedName name="T5?L3.1">#REF!</definedName>
    <definedName name="T5?L4" localSheetId="15">#REF!</definedName>
    <definedName name="T5?L4" localSheetId="21">#REF!</definedName>
    <definedName name="T5?L4" localSheetId="46">#REF!</definedName>
    <definedName name="T5?L4" localSheetId="7">#REF!</definedName>
    <definedName name="T5?L4">#REF!</definedName>
    <definedName name="T5?L4.1" localSheetId="15">#REF!</definedName>
    <definedName name="T5?L4.1" localSheetId="21">#REF!</definedName>
    <definedName name="T5?L4.1" localSheetId="46">#REF!</definedName>
    <definedName name="T5?L4.1" localSheetId="7">#REF!</definedName>
    <definedName name="T5?L4.1">#REF!</definedName>
    <definedName name="T5?L5" localSheetId="15">#REF!</definedName>
    <definedName name="T5?L5" localSheetId="21">#REF!</definedName>
    <definedName name="T5?L5" localSheetId="46">#REF!</definedName>
    <definedName name="T5?L5" localSheetId="7">#REF!</definedName>
    <definedName name="T5?L5">#REF!</definedName>
    <definedName name="T5?L5.1" localSheetId="15">#REF!</definedName>
    <definedName name="T5?L5.1" localSheetId="21">#REF!</definedName>
    <definedName name="T5?L5.1" localSheetId="46">#REF!</definedName>
    <definedName name="T5?L5.1" localSheetId="7">#REF!</definedName>
    <definedName name="T5?L5.1">#REF!</definedName>
    <definedName name="T5?L6" localSheetId="15">#REF!</definedName>
    <definedName name="T5?L6" localSheetId="21">#REF!</definedName>
    <definedName name="T5?L6" localSheetId="46">#REF!</definedName>
    <definedName name="T5?L6" localSheetId="7">#REF!</definedName>
    <definedName name="T5?L6">#REF!</definedName>
    <definedName name="T5?L6.1" localSheetId="15">#REF!</definedName>
    <definedName name="T5?L6.1" localSheetId="21">#REF!</definedName>
    <definedName name="T5?L6.1" localSheetId="46">#REF!</definedName>
    <definedName name="T5?L6.1" localSheetId="7">#REF!</definedName>
    <definedName name="T5?L6.1">#REF!</definedName>
    <definedName name="T5?L7" localSheetId="15">#REF!</definedName>
    <definedName name="T5?L7" localSheetId="21">#REF!</definedName>
    <definedName name="T5?L7" localSheetId="46">#REF!</definedName>
    <definedName name="T5?L7" localSheetId="7">#REF!</definedName>
    <definedName name="T5?L7">#REF!</definedName>
    <definedName name="T5?L8" localSheetId="15">#REF!</definedName>
    <definedName name="T5?L8" localSheetId="21">#REF!</definedName>
    <definedName name="T5?L8" localSheetId="46">#REF!</definedName>
    <definedName name="T5?L8" localSheetId="7">#REF!</definedName>
    <definedName name="T5?L8">#REF!</definedName>
    <definedName name="T5?L9" localSheetId="15">#REF!</definedName>
    <definedName name="T5?L9" localSheetId="21">#REF!</definedName>
    <definedName name="T5?L9" localSheetId="46">#REF!</definedName>
    <definedName name="T5?L9" localSheetId="7">#REF!</definedName>
    <definedName name="T5?L9">#REF!</definedName>
    <definedName name="T5?Name" localSheetId="15">#REF!</definedName>
    <definedName name="T5?Name" localSheetId="21">#REF!</definedName>
    <definedName name="T5?Name" localSheetId="46">#REF!</definedName>
    <definedName name="T5?Name" localSheetId="7">#REF!</definedName>
    <definedName name="T5?Name">#REF!</definedName>
    <definedName name="T5?Table" localSheetId="15">#REF!</definedName>
    <definedName name="T5?Table" localSheetId="21">#REF!</definedName>
    <definedName name="T5?Table" localSheetId="46">#REF!</definedName>
    <definedName name="T5?Table" localSheetId="7">#REF!</definedName>
    <definedName name="T5?Table">#REF!</definedName>
    <definedName name="T5?Title" localSheetId="15">#REF!</definedName>
    <definedName name="T5?Title" localSheetId="21">#REF!</definedName>
    <definedName name="T5?Title" localSheetId="46">#REF!</definedName>
    <definedName name="T5?Title" localSheetId="7">#REF!</definedName>
    <definedName name="T5?Title">#REF!</definedName>
    <definedName name="T5?unit?МВТ">'[27]5'!$C$8:$L$17,'[27]5'!$C$19:$L$23</definedName>
    <definedName name="T5?unit?МКВ" localSheetId="15">#REF!,#REF!</definedName>
    <definedName name="T5?unit?МКВ" localSheetId="21">#REF!,#REF!</definedName>
    <definedName name="T5?unit?МКВ" localSheetId="46">#REF!,#REF!</definedName>
    <definedName name="T5?unit?МКВ" localSheetId="47">#REF!,#REF!</definedName>
    <definedName name="T5?unit?МКВ" localSheetId="7">#REF!,#REF!</definedName>
    <definedName name="T5?unit?МКВ">#REF!,#REF!</definedName>
    <definedName name="T5?unit?ПРЦ">'[3]5'!$N$6:$Q$18, '[3]5'!$N$20:$Q$32, '[3]5'!$N$34:$Q$46, '[3]5'!$N$48:$Q$60, '[3]5'!$E$63:$Q$74, '[3]5'!$N$76:$Q$88</definedName>
    <definedName name="T5?unit?РУБ" localSheetId="15">#REF!,#REF!</definedName>
    <definedName name="T5?unit?РУБ" localSheetId="21">#REF!,#REF!</definedName>
    <definedName name="T5?unit?РУБ" localSheetId="46">#REF!,#REF!</definedName>
    <definedName name="T5?unit?РУБ" localSheetId="47">#REF!,#REF!</definedName>
    <definedName name="T5?unit?РУБ" localSheetId="7">#REF!,#REF!</definedName>
    <definedName name="T5?unit?РУБ">#REF!,#REF!</definedName>
    <definedName name="T5?unit?ТРУБ">'[3]5'!$E$76:$M$88, '[3]5'!$E$48:$M$60, '[3]5'!$E$34:$M$46, '[3]5'!$E$20:$M$32, '[3]5'!$E$6:$M$18</definedName>
    <definedName name="T5?unit?ЧЕЛ" localSheetId="15">#REF!,#REF!</definedName>
    <definedName name="T5?unit?ЧЕЛ" localSheetId="21">#REF!,#REF!</definedName>
    <definedName name="T5?unit?ЧЕЛ" localSheetId="46">#REF!,#REF!</definedName>
    <definedName name="T5?unit?ЧЕЛ" localSheetId="47">#REF!,#REF!</definedName>
    <definedName name="T5?unit?ЧЕЛ" localSheetId="7">#REF!,#REF!</definedName>
    <definedName name="T5?unit?ЧЕЛ">#REF!,#REF!</definedName>
    <definedName name="T6_Protect" localSheetId="47">'[11]6'!$B$28:$B$37,'[11]6'!$D$28:$H$37,'[11]6'!$J$28:$N$37,'[11]6'!$D$39:$H$41,'[11]6'!$J$39:$N$41,'[11]6'!$B$46:$B$55,P1_T6_Protect</definedName>
    <definedName name="T6_Protect">'[11]6'!$B$28:$B$37,'[11]6'!$D$28:$H$37,'[11]6'!$J$28:$N$37,'[11]6'!$D$39:$H$41,'[11]6'!$J$39:$N$41,'[11]6'!$B$46:$B$55,P1_T6_Protect</definedName>
    <definedName name="T6?axis?ПРД?БАЗ">'[3]6'!$I$6:$J$47,'[3]6'!$F$6:$G$47</definedName>
    <definedName name="T6?axis?ПРД?ПРЕД">'[3]6'!$K$6:$L$47,'[3]6'!$D$6:$E$47</definedName>
    <definedName name="T6?axis?ПРД?РЕГ" localSheetId="15">#REF!</definedName>
    <definedName name="T6?axis?ПРД?РЕГ" localSheetId="21">#REF!</definedName>
    <definedName name="T6?axis?ПРД?РЕГ" localSheetId="46">#REF!</definedName>
    <definedName name="T6?axis?ПРД?РЕГ" localSheetId="47">#REF!</definedName>
    <definedName name="T6?axis?ПРД?РЕГ" localSheetId="7">#REF!</definedName>
    <definedName name="T6?axis?ПРД?РЕГ">#REF!</definedName>
    <definedName name="T6?axis?ПФ?ПЛАН">'[3]6'!$I$6:$I$47,'[3]6'!$D$6:$D$47,'[3]6'!$K$6:$K$47,'[3]6'!$F$6:$F$47</definedName>
    <definedName name="T6?axis?ПФ?ФАКТ">'[3]6'!$J$6:$J$47,'[3]6'!$L$6:$L$47,'[3]6'!$E$6:$E$47,'[3]6'!$G$6:$G$47</definedName>
    <definedName name="T6?axis?C?НАП">'[27]6'!$C$7:$N$44,'[27]6'!$P$7:$U$44</definedName>
    <definedName name="T6?axis?C?НАП?">'[27]6'!$P$5:$U$5,'[27]6'!$C$5:$N$5</definedName>
    <definedName name="T6?axis?R?ПОТ">'[27]6'!$C$8:$U$8,'[27]6'!$C$10:$U$20,'[27]6'!$C$22:$U$25,'[27]6'!$C$27:$U$27,'[27]6'!$C$29:$U$39,'[27]6'!$C$41:$U$44</definedName>
    <definedName name="T6?axis?R?ПОТ?">'[27]6'!$B$8,'[27]6'!$B$10:$B$20,'[27]6'!$B$22:$B$25,'[27]6'!$B$27,'[27]6'!$B$29:$B$39,'[27]6'!$B$41:$B$44</definedName>
    <definedName name="T6?Data">'[3]6'!$D$7:$L$14, '[3]6'!$D$16:$L$19, '[3]6'!$D$21:$L$22, '[3]6'!$D$24:$L$25, '[3]6'!$D$27:$L$28, '[3]6'!$D$30:$L$31, '[3]6'!$D$33:$L$35, '[3]6'!$D$37:$L$39, '[3]6'!$D$41:$L$47</definedName>
    <definedName name="T6?item_ext?РОСТ" localSheetId="15">#REF!</definedName>
    <definedName name="T6?item_ext?РОСТ" localSheetId="21">#REF!</definedName>
    <definedName name="T6?item_ext?РОСТ" localSheetId="46">#REF!</definedName>
    <definedName name="T6?item_ext?РОСТ" localSheetId="47">#REF!</definedName>
    <definedName name="T6?item_ext?РОСТ" localSheetId="7">#REF!</definedName>
    <definedName name="T6?item_ext?РОСТ">#REF!</definedName>
    <definedName name="T6?L1">'[27]6'!$C$22:$H$25,'[27]6'!$C$27:$H$27,'[27]6'!$C$29:$H$39,'[27]6'!$C$41:$H$44,'[27]6'!$C$8:$H$8,'[27]6'!$C$10:$H$20</definedName>
    <definedName name="T6?L1.1" localSheetId="15">#REF!</definedName>
    <definedName name="T6?L1.1" localSheetId="21">#REF!</definedName>
    <definedName name="T6?L1.1" localSheetId="46">#REF!</definedName>
    <definedName name="T6?L1.1" localSheetId="47">#REF!</definedName>
    <definedName name="T6?L1.1" localSheetId="7">#REF!</definedName>
    <definedName name="T6?L1.1">#REF!</definedName>
    <definedName name="T6?L1.1.1" localSheetId="15">#REF!</definedName>
    <definedName name="T6?L1.1.1" localSheetId="21">#REF!</definedName>
    <definedName name="T6?L1.1.1" localSheetId="46">#REF!</definedName>
    <definedName name="T6?L1.1.1" localSheetId="7">#REF!</definedName>
    <definedName name="T6?L1.1.1">#REF!</definedName>
    <definedName name="T6?L1.2" localSheetId="15">#REF!</definedName>
    <definedName name="T6?L1.2" localSheetId="21">#REF!</definedName>
    <definedName name="T6?L1.2" localSheetId="46">#REF!</definedName>
    <definedName name="T6?L1.2" localSheetId="7">#REF!</definedName>
    <definedName name="T6?L1.2">#REF!</definedName>
    <definedName name="T6?L1.2.1" localSheetId="15">#REF!</definedName>
    <definedName name="T6?L1.2.1" localSheetId="21">#REF!</definedName>
    <definedName name="T6?L1.2.1" localSheetId="46">#REF!</definedName>
    <definedName name="T6?L1.2.1" localSheetId="7">#REF!</definedName>
    <definedName name="T6?L1.2.1">#REF!</definedName>
    <definedName name="T6?L1.3" localSheetId="15">#REF!</definedName>
    <definedName name="T6?L1.3" localSheetId="21">#REF!</definedName>
    <definedName name="T6?L1.3" localSheetId="46">#REF!</definedName>
    <definedName name="T6?L1.3" localSheetId="7">#REF!</definedName>
    <definedName name="T6?L1.3">#REF!</definedName>
    <definedName name="T6?L1.3.1" localSheetId="15">#REF!</definedName>
    <definedName name="T6?L1.3.1" localSheetId="21">#REF!</definedName>
    <definedName name="T6?L1.3.1" localSheetId="46">#REF!</definedName>
    <definedName name="T6?L1.3.1" localSheetId="7">#REF!</definedName>
    <definedName name="T6?L1.3.1">#REF!</definedName>
    <definedName name="T6?L1.4" localSheetId="15">#REF!</definedName>
    <definedName name="T6?L1.4" localSheetId="21">#REF!</definedName>
    <definedName name="T6?L1.4" localSheetId="46">#REF!</definedName>
    <definedName name="T6?L1.4" localSheetId="7">#REF!</definedName>
    <definedName name="T6?L1.4">#REF!</definedName>
    <definedName name="T6?L1.5" localSheetId="15">#REF!</definedName>
    <definedName name="T6?L1.5" localSheetId="21">#REF!</definedName>
    <definedName name="T6?L1.5" localSheetId="46">#REF!</definedName>
    <definedName name="T6?L1.5" localSheetId="7">#REF!</definedName>
    <definedName name="T6?L1.5">#REF!</definedName>
    <definedName name="T6?L2">'[27]6'!$I$22:$N$25,'[27]6'!$I$27:$N$27,'[27]6'!$I$29:$N$39,'[27]6'!$I$41:$N$44,'[27]6'!$I$8:$N$8,'[27]6'!$I$10:$N$20</definedName>
    <definedName name="T6?L2.1" localSheetId="15">#REF!</definedName>
    <definedName name="T6?L2.1" localSheetId="21">#REF!</definedName>
    <definedName name="T6?L2.1" localSheetId="46">#REF!</definedName>
    <definedName name="T6?L2.1" localSheetId="47">#REF!</definedName>
    <definedName name="T6?L2.1" localSheetId="7">#REF!</definedName>
    <definedName name="T6?L2.1">#REF!</definedName>
    <definedName name="T6?L2.10" localSheetId="15">#REF!</definedName>
    <definedName name="T6?L2.10" localSheetId="21">#REF!</definedName>
    <definedName name="T6?L2.10" localSheetId="46">#REF!</definedName>
    <definedName name="T6?L2.10" localSheetId="7">#REF!</definedName>
    <definedName name="T6?L2.10">#REF!</definedName>
    <definedName name="T6?L2.2" localSheetId="15">#REF!</definedName>
    <definedName name="T6?L2.2" localSheetId="21">#REF!</definedName>
    <definedName name="T6?L2.2" localSheetId="46">#REF!</definedName>
    <definedName name="T6?L2.2" localSheetId="7">#REF!</definedName>
    <definedName name="T6?L2.2">#REF!</definedName>
    <definedName name="T6?L2.3" localSheetId="15">#REF!</definedName>
    <definedName name="T6?L2.3" localSheetId="21">#REF!</definedName>
    <definedName name="T6?L2.3" localSheetId="46">#REF!</definedName>
    <definedName name="T6?L2.3" localSheetId="7">#REF!</definedName>
    <definedName name="T6?L2.3">#REF!</definedName>
    <definedName name="T6?L2.4" localSheetId="15">#REF!</definedName>
    <definedName name="T6?L2.4" localSheetId="21">#REF!</definedName>
    <definedName name="T6?L2.4" localSheetId="46">#REF!</definedName>
    <definedName name="T6?L2.4" localSheetId="7">#REF!</definedName>
    <definedName name="T6?L2.4">#REF!</definedName>
    <definedName name="T6?L2.5.1" localSheetId="15">#REF!</definedName>
    <definedName name="T6?L2.5.1" localSheetId="21">#REF!</definedName>
    <definedName name="T6?L2.5.1" localSheetId="46">#REF!</definedName>
    <definedName name="T6?L2.5.1" localSheetId="7">#REF!</definedName>
    <definedName name="T6?L2.5.1">#REF!</definedName>
    <definedName name="T6?L2.5.2" localSheetId="15">#REF!</definedName>
    <definedName name="T6?L2.5.2" localSheetId="21">#REF!</definedName>
    <definedName name="T6?L2.5.2" localSheetId="46">#REF!</definedName>
    <definedName name="T6?L2.5.2" localSheetId="7">#REF!</definedName>
    <definedName name="T6?L2.5.2">#REF!</definedName>
    <definedName name="T6?L2.6.1" localSheetId="15">#REF!</definedName>
    <definedName name="T6?L2.6.1" localSheetId="21">#REF!</definedName>
    <definedName name="T6?L2.6.1" localSheetId="46">#REF!</definedName>
    <definedName name="T6?L2.6.1" localSheetId="7">#REF!</definedName>
    <definedName name="T6?L2.6.1">#REF!</definedName>
    <definedName name="T6?L2.6.2" localSheetId="15">#REF!</definedName>
    <definedName name="T6?L2.6.2" localSheetId="21">#REF!</definedName>
    <definedName name="T6?L2.6.2" localSheetId="46">#REF!</definedName>
    <definedName name="T6?L2.6.2" localSheetId="7">#REF!</definedName>
    <definedName name="T6?L2.6.2">#REF!</definedName>
    <definedName name="T6?L2.7.1" localSheetId="15">#REF!</definedName>
    <definedName name="T6?L2.7.1" localSheetId="21">#REF!</definedName>
    <definedName name="T6?L2.7.1" localSheetId="46">#REF!</definedName>
    <definedName name="T6?L2.7.1" localSheetId="7">#REF!</definedName>
    <definedName name="T6?L2.7.1">#REF!</definedName>
    <definedName name="T6?L2.7.2" localSheetId="15">#REF!</definedName>
    <definedName name="T6?L2.7.2" localSheetId="21">#REF!</definedName>
    <definedName name="T6?L2.7.2" localSheetId="46">#REF!</definedName>
    <definedName name="T6?L2.7.2" localSheetId="7">#REF!</definedName>
    <definedName name="T6?L2.7.2">#REF!</definedName>
    <definedName name="T6?L2.8.1" localSheetId="15">#REF!</definedName>
    <definedName name="T6?L2.8.1" localSheetId="21">#REF!</definedName>
    <definedName name="T6?L2.8.1" localSheetId="46">#REF!</definedName>
    <definedName name="T6?L2.8.1" localSheetId="7">#REF!</definedName>
    <definedName name="T6?L2.8.1">#REF!</definedName>
    <definedName name="T6?L2.8.2" localSheetId="15">#REF!</definedName>
    <definedName name="T6?L2.8.2" localSheetId="21">#REF!</definedName>
    <definedName name="T6?L2.8.2" localSheetId="46">#REF!</definedName>
    <definedName name="T6?L2.8.2" localSheetId="7">#REF!</definedName>
    <definedName name="T6?L2.8.2">#REF!</definedName>
    <definedName name="T6?L2.9.1" localSheetId="15">#REF!</definedName>
    <definedName name="T6?L2.9.1" localSheetId="21">#REF!</definedName>
    <definedName name="T6?L2.9.1" localSheetId="46">#REF!</definedName>
    <definedName name="T6?L2.9.1" localSheetId="7">#REF!</definedName>
    <definedName name="T6?L2.9.1">#REF!</definedName>
    <definedName name="T6?L2.9.2" localSheetId="15">#REF!</definedName>
    <definedName name="T6?L2.9.2" localSheetId="21">#REF!</definedName>
    <definedName name="T6?L2.9.2" localSheetId="46">#REF!</definedName>
    <definedName name="T6?L2.9.2" localSheetId="7">#REF!</definedName>
    <definedName name="T6?L2.9.2">#REF!</definedName>
    <definedName name="T6?L3">'[27]6'!$O$22:$O$25,'[27]6'!$O$27,'[27]6'!$O$29:$O$39,'[27]6'!$O$41:$O$44,'[27]6'!$O$8,'[27]6'!$O$10:$O$20</definedName>
    <definedName name="T6?L3.1" localSheetId="15">#REF!</definedName>
    <definedName name="T6?L3.1" localSheetId="21">#REF!</definedName>
    <definedName name="T6?L3.1" localSheetId="46">#REF!</definedName>
    <definedName name="T6?L3.1" localSheetId="47">#REF!</definedName>
    <definedName name="T6?L3.1" localSheetId="7">#REF!</definedName>
    <definedName name="T6?L3.1">#REF!</definedName>
    <definedName name="T6?L3.2" localSheetId="15">#REF!</definedName>
    <definedName name="T6?L3.2" localSheetId="21">#REF!</definedName>
    <definedName name="T6?L3.2" localSheetId="46">#REF!</definedName>
    <definedName name="T6?L3.2" localSheetId="7">#REF!</definedName>
    <definedName name="T6?L3.2">#REF!</definedName>
    <definedName name="T6?L3.3" localSheetId="15">#REF!</definedName>
    <definedName name="T6?L3.3" localSheetId="21">#REF!</definedName>
    <definedName name="T6?L3.3" localSheetId="46">#REF!</definedName>
    <definedName name="T6?L3.3" localSheetId="7">#REF!</definedName>
    <definedName name="T6?L3.3">#REF!</definedName>
    <definedName name="T6?L4">'[27]6'!$P$22:$U$25,'[27]6'!$P$27:$U$27,'[27]6'!$P$29:$U$39,'[27]6'!$P$41:$U$44,'[27]6'!$P$8:$U$8,'[27]6'!$P$10:$U$20</definedName>
    <definedName name="T6?L4.1" localSheetId="15">#REF!</definedName>
    <definedName name="T6?L4.1" localSheetId="21">#REF!</definedName>
    <definedName name="T6?L4.1" localSheetId="46">#REF!</definedName>
    <definedName name="T6?L4.1" localSheetId="47">#REF!</definedName>
    <definedName name="T6?L4.1" localSheetId="7">#REF!</definedName>
    <definedName name="T6?L4.1">#REF!</definedName>
    <definedName name="T6?L4.2" localSheetId="15">#REF!</definedName>
    <definedName name="T6?L4.2" localSheetId="21">#REF!</definedName>
    <definedName name="T6?L4.2" localSheetId="46">#REF!</definedName>
    <definedName name="T6?L4.2" localSheetId="7">#REF!</definedName>
    <definedName name="T6?L4.2">#REF!</definedName>
    <definedName name="T6?L4.3" localSheetId="15">#REF!</definedName>
    <definedName name="T6?L4.3" localSheetId="21">#REF!</definedName>
    <definedName name="T6?L4.3" localSheetId="46">#REF!</definedName>
    <definedName name="T6?L4.3" localSheetId="7">#REF!</definedName>
    <definedName name="T6?L4.3">#REF!</definedName>
    <definedName name="T6?L4.4" localSheetId="15">#REF!</definedName>
    <definedName name="T6?L4.4" localSheetId="21">#REF!</definedName>
    <definedName name="T6?L4.4" localSheetId="46">#REF!</definedName>
    <definedName name="T6?L4.4" localSheetId="7">#REF!</definedName>
    <definedName name="T6?L4.4">#REF!</definedName>
    <definedName name="T6?L4.5" localSheetId="15">#REF!</definedName>
    <definedName name="T6?L4.5" localSheetId="21">#REF!</definedName>
    <definedName name="T6?L4.5" localSheetId="46">#REF!</definedName>
    <definedName name="T6?L4.5" localSheetId="7">#REF!</definedName>
    <definedName name="T6?L4.5">#REF!</definedName>
    <definedName name="T6?L4.6" localSheetId="15">#REF!</definedName>
    <definedName name="T6?L4.6" localSheetId="21">#REF!</definedName>
    <definedName name="T6?L4.6" localSheetId="46">#REF!</definedName>
    <definedName name="T6?L4.6" localSheetId="7">#REF!</definedName>
    <definedName name="T6?L4.6">#REF!</definedName>
    <definedName name="T6?L4.7" localSheetId="15">#REF!</definedName>
    <definedName name="T6?L4.7" localSheetId="21">#REF!</definedName>
    <definedName name="T6?L4.7" localSheetId="46">#REF!</definedName>
    <definedName name="T6?L4.7" localSheetId="7">#REF!</definedName>
    <definedName name="T6?L4.7">#REF!</definedName>
    <definedName name="T6?Name" localSheetId="15">#REF!</definedName>
    <definedName name="T6?Name" localSheetId="21">#REF!</definedName>
    <definedName name="T6?Name" localSheetId="46">#REF!</definedName>
    <definedName name="T6?Name" localSheetId="7">#REF!</definedName>
    <definedName name="T6?Name">#REF!</definedName>
    <definedName name="T6?Table" localSheetId="15">#REF!</definedName>
    <definedName name="T6?Table" localSheetId="21">#REF!</definedName>
    <definedName name="T6?Table" localSheetId="46">#REF!</definedName>
    <definedName name="T6?Table" localSheetId="7">#REF!</definedName>
    <definedName name="T6?Table">#REF!</definedName>
    <definedName name="T6?Title" localSheetId="15">#REF!</definedName>
    <definedName name="T6?Title" localSheetId="21">#REF!</definedName>
    <definedName name="T6?Title" localSheetId="46">#REF!</definedName>
    <definedName name="T6?Title" localSheetId="7">#REF!</definedName>
    <definedName name="T6?Title">#REF!</definedName>
    <definedName name="T6?unit?ПРЦ">'[3]6'!$D$12:$H$12, '[3]6'!$D$21:$H$21, '[3]6'!$D$24:$H$24, '[3]6'!$D$27:$H$27, '[3]6'!$D$30:$H$30, '[3]6'!$D$33:$H$33, '[3]6'!$D$47:$H$47, '[3]6'!$I$7:$L$47</definedName>
    <definedName name="T6?unit?РУБ">'[3]6'!$D$16:$H$16, '[3]6'!$D$19:$H$19, '[3]6'!$D$22:$H$22, '[3]6'!$D$25:$H$25, '[3]6'!$D$28:$H$28, '[3]6'!$D$31:$H$31, '[3]6'!$D$34:$H$35, '[3]6'!$D$43:$H$43</definedName>
    <definedName name="T6?unit?ТРУБ">'[3]6'!$D$37:$H$39, '[3]6'!$D$44:$H$46</definedName>
    <definedName name="T6?unit?ЧЕЛ">'[3]6'!$D$41:$H$42, '[3]6'!$D$13:$H$14, '[3]6'!$D$7:$H$11</definedName>
    <definedName name="T6.1?axis?ПРД?БАЗ.КВ1" localSheetId="15">#REF!</definedName>
    <definedName name="T6.1?axis?ПРД?БАЗ.КВ1" localSheetId="21">#REF!</definedName>
    <definedName name="T6.1?axis?ПРД?БАЗ.КВ1" localSheetId="46">#REF!</definedName>
    <definedName name="T6.1?axis?ПРД?БАЗ.КВ1" localSheetId="47">#REF!</definedName>
    <definedName name="T6.1?axis?ПРД?БАЗ.КВ1" localSheetId="7">#REF!</definedName>
    <definedName name="T6.1?axis?ПРД?БАЗ.КВ1">#REF!</definedName>
    <definedName name="T6.1?axis?ПРД?БАЗ.КВ2" localSheetId="15">#REF!</definedName>
    <definedName name="T6.1?axis?ПРД?БАЗ.КВ2" localSheetId="21">#REF!</definedName>
    <definedName name="T6.1?axis?ПРД?БАЗ.КВ2" localSheetId="46">#REF!</definedName>
    <definedName name="T6.1?axis?ПРД?БАЗ.КВ2" localSheetId="7">#REF!</definedName>
    <definedName name="T6.1?axis?ПРД?БАЗ.КВ2">#REF!</definedName>
    <definedName name="T6.1?axis?ПРД?БАЗ.КВ3" localSheetId="15">#REF!</definedName>
    <definedName name="T6.1?axis?ПРД?БАЗ.КВ3" localSheetId="21">#REF!</definedName>
    <definedName name="T6.1?axis?ПРД?БАЗ.КВ3" localSheetId="46">#REF!</definedName>
    <definedName name="T6.1?axis?ПРД?БАЗ.КВ3" localSheetId="7">#REF!</definedName>
    <definedName name="T6.1?axis?ПРД?БАЗ.КВ3">#REF!</definedName>
    <definedName name="T6.1?axis?ПРД?БАЗ.КВ4" localSheetId="15">#REF!</definedName>
    <definedName name="T6.1?axis?ПРД?БАЗ.КВ4" localSheetId="21">#REF!</definedName>
    <definedName name="T6.1?axis?ПРД?БАЗ.КВ4" localSheetId="46">#REF!</definedName>
    <definedName name="T6.1?axis?ПРД?БАЗ.КВ4" localSheetId="7">#REF!</definedName>
    <definedName name="T6.1?axis?ПРД?БАЗ.КВ4">#REF!</definedName>
    <definedName name="T6.1?axis?ПРД?РЕГ" localSheetId="15">#REF!</definedName>
    <definedName name="T6.1?axis?ПРД?РЕГ" localSheetId="21">#REF!</definedName>
    <definedName name="T6.1?axis?ПРД?РЕГ" localSheetId="46">#REF!</definedName>
    <definedName name="T6.1?axis?ПРД?РЕГ" localSheetId="7">#REF!</definedName>
    <definedName name="T6.1?axis?ПРД?РЕГ">#REF!</definedName>
    <definedName name="T6.1?axis?ПРД?РЕГ.КВ1" localSheetId="15">#REF!</definedName>
    <definedName name="T6.1?axis?ПРД?РЕГ.КВ1" localSheetId="21">#REF!</definedName>
    <definedName name="T6.1?axis?ПРД?РЕГ.КВ1" localSheetId="46">#REF!</definedName>
    <definedName name="T6.1?axis?ПРД?РЕГ.КВ1" localSheetId="7">#REF!</definedName>
    <definedName name="T6.1?axis?ПРД?РЕГ.КВ1">#REF!</definedName>
    <definedName name="T6.1?axis?ПРД?РЕГ.КВ2" localSheetId="15">#REF!</definedName>
    <definedName name="T6.1?axis?ПРД?РЕГ.КВ2" localSheetId="21">#REF!</definedName>
    <definedName name="T6.1?axis?ПРД?РЕГ.КВ2" localSheetId="46">#REF!</definedName>
    <definedName name="T6.1?axis?ПРД?РЕГ.КВ2" localSheetId="7">#REF!</definedName>
    <definedName name="T6.1?axis?ПРД?РЕГ.КВ2">#REF!</definedName>
    <definedName name="T6.1?axis?ПРД?РЕГ.КВ3" localSheetId="15">#REF!</definedName>
    <definedName name="T6.1?axis?ПРД?РЕГ.КВ3" localSheetId="21">#REF!</definedName>
    <definedName name="T6.1?axis?ПРД?РЕГ.КВ3" localSheetId="46">#REF!</definedName>
    <definedName name="T6.1?axis?ПРД?РЕГ.КВ3" localSheetId="7">#REF!</definedName>
    <definedName name="T6.1?axis?ПРД?РЕГ.КВ3">#REF!</definedName>
    <definedName name="T6.1?axis?ПРД?РЕГ.КВ4" localSheetId="15">#REF!</definedName>
    <definedName name="T6.1?axis?ПРД?РЕГ.КВ4" localSheetId="21">#REF!</definedName>
    <definedName name="T6.1?axis?ПРД?РЕГ.КВ4" localSheetId="46">#REF!</definedName>
    <definedName name="T6.1?axis?ПРД?РЕГ.КВ4" localSheetId="7">#REF!</definedName>
    <definedName name="T6.1?axis?ПРД?РЕГ.КВ4">#REF!</definedName>
    <definedName name="T6.1?Data" localSheetId="15">#REF!</definedName>
    <definedName name="T6.1?Data" localSheetId="21">#REF!</definedName>
    <definedName name="T6.1?Data" localSheetId="46">#REF!</definedName>
    <definedName name="T6.1?Data" localSheetId="7">#REF!</definedName>
    <definedName name="T6.1?Data">#REF!</definedName>
    <definedName name="T6.1?L1" localSheetId="15">#REF!</definedName>
    <definedName name="T6.1?L1" localSheetId="21">#REF!</definedName>
    <definedName name="T6.1?L1" localSheetId="46">#REF!</definedName>
    <definedName name="T6.1?L1" localSheetId="7">#REF!</definedName>
    <definedName name="T6.1?L1">#REF!</definedName>
    <definedName name="T6.1?L2" localSheetId="15">#REF!</definedName>
    <definedName name="T6.1?L2" localSheetId="21">#REF!</definedName>
    <definedName name="T6.1?L2" localSheetId="46">#REF!</definedName>
    <definedName name="T6.1?L2" localSheetId="7">#REF!</definedName>
    <definedName name="T6.1?L2">#REF!</definedName>
    <definedName name="T6.1?Name" localSheetId="15">#REF!</definedName>
    <definedName name="T6.1?Name" localSheetId="21">#REF!</definedName>
    <definedName name="T6.1?Name" localSheetId="46">#REF!</definedName>
    <definedName name="T6.1?Name" localSheetId="7">#REF!</definedName>
    <definedName name="T6.1?Name">#REF!</definedName>
    <definedName name="T6.1?Table" localSheetId="15">#REF!</definedName>
    <definedName name="T6.1?Table" localSheetId="21">#REF!</definedName>
    <definedName name="T6.1?Table" localSheetId="46">#REF!</definedName>
    <definedName name="T6.1?Table" localSheetId="7">#REF!</definedName>
    <definedName name="T6.1?Table">#REF!</definedName>
    <definedName name="T6.1?Title" localSheetId="15">#REF!</definedName>
    <definedName name="T6.1?Title" localSheetId="21">#REF!</definedName>
    <definedName name="T6.1?Title" localSheetId="46">#REF!</definedName>
    <definedName name="T6.1?Title" localSheetId="7">#REF!</definedName>
    <definedName name="T6.1?Title">#REF!</definedName>
    <definedName name="T6.1?unit?ПРЦ" localSheetId="15">#REF!</definedName>
    <definedName name="T6.1?unit?ПРЦ" localSheetId="21">#REF!</definedName>
    <definedName name="T6.1?unit?ПРЦ" localSheetId="46">#REF!</definedName>
    <definedName name="T6.1?unit?ПРЦ" localSheetId="7">#REF!</definedName>
    <definedName name="T6.1?unit?ПРЦ">#REF!</definedName>
    <definedName name="T6.1?unit?РУБ" localSheetId="15">#REF!</definedName>
    <definedName name="T6.1?unit?РУБ" localSheetId="21">#REF!</definedName>
    <definedName name="T6.1?unit?РУБ" localSheetId="46">#REF!</definedName>
    <definedName name="T6.1?unit?РУБ" localSheetId="7">#REF!</definedName>
    <definedName name="T6.1?unit?РУБ">#REF!</definedName>
    <definedName name="T7?axis?ПРД?БАЗ">'[30]6'!$J$8:$K$14,'[30]6'!$F$8:$G$14</definedName>
    <definedName name="T7?axis?ПРД?ПРЕД">'[30]6'!$L$8:$M$14,'[30]6'!$D$8:$E$14</definedName>
    <definedName name="T7?axis?ПФ?ПЛАН">'[30]6'!$J$8:$J$14,'[30]6'!$D$8:$D$14,'[30]6'!$L$8:$L$14,'[30]6'!$F$8:$F$14</definedName>
    <definedName name="T7?axis?ПФ?ФАКТ">'[30]6'!$K$8:$K$14,'[30]6'!$E$8:$E$14,'[30]6'!$M$8:$M$14,'[30]6'!$G$8:$G$14</definedName>
    <definedName name="T7?axis?R?ПЭ">'[27]7'!$D$27:$S$27,'[27]7'!$D$31:$S$31,'[27]7'!$D$17:$S$23</definedName>
    <definedName name="T7?axis?R?ПЭ?">'[27]7'!$B$27:$B$27,'[27]7'!$B$31,'[27]7'!$B$17:$B$23</definedName>
    <definedName name="T7?axis?R?СЦТ">'[27]7'!$D$63:$S$66,'[27]7'!$D$42:$S$45,'[27]7'!$D$34:$S$37,'[27]7'!$D$49:$S$52,'[27]7'!$D$70:$S$73,'[27]7'!$D$56:$S$59</definedName>
    <definedName name="T7?axis?R?СЦТ?">'[27]7'!$B$63:$B$66,'[27]7'!$B$42:$B$45,'[27]7'!$B$34:$B$37,'[27]7'!$B$49:$B$52,'[27]7'!$B$70:$B$73,'[27]7'!$B$56:$B$59</definedName>
    <definedName name="T7?Data">#N/A</definedName>
    <definedName name="T7?item_ext?ВСЕГО">'[27]7'!$D$54:$S$54,'[27]7'!$D$61:$S$61,'[27]7'!$D$14:$S$14,'[27]7'!$D$68:$S$68,'[27]7'!$D$40:$S$40,'[27]7'!$D$47:$S$47</definedName>
    <definedName name="T7?L4.1">'[27]7'!$D$56:$S$59,'[27]7'!$D$54:$S$54</definedName>
    <definedName name="T7?L5.1">'[27]7'!$D$68:$S$68,'[27]7'!$D$70:$S$73</definedName>
    <definedName name="T7?unit?ТГКАЛ">'[27]7'!$D$61:$S$74,'[27]7'!$D$14:$S$53</definedName>
    <definedName name="T8_Name">'[27]8'!$B$110,'[27]8'!$B$75,'[27]8'!$B$40,'[27]8'!$B$145</definedName>
    <definedName name="T8?axis?ПРД?БАЗ">'[3]8'!$I$6:$J$42, '[3]8'!$F$6:$G$42</definedName>
    <definedName name="T8?axis?ПРД?ПРЕД">'[3]8'!$K$6:$L$42, '[3]8'!$D$6:$E$42</definedName>
    <definedName name="T8?axis?ПФ?ПЛАН">'[3]8'!$I$6:$I$42, '[3]8'!$D$6:$D$42, '[3]8'!$K$6:$K$42, '[3]8'!$F$6:$F$42</definedName>
    <definedName name="T8?axis?ПФ?ФАКТ">'[3]8'!$G$6:$G$42, '[3]8'!$J$6:$J$42, '[3]8'!$L$6:$L$42, '[3]8'!$E$6:$E$42</definedName>
    <definedName name="T8?axis?R?ПАР">'[27]8'!$G$116:$J$142,'[27]8'!$G$81:$J$107,'[27]8'!$G$46:$J$72,'[27]8'!$G$11:$J$37,'[27]8'!$G$151:$J$177</definedName>
    <definedName name="T8?axis?R?ПАР?">'[27]8'!$E$116:$E$142,'[27]8'!$E$81:$E$107,'[27]8'!$E$46:$E$72,'[27]8'!$E$11:$E$37,'[27]8'!$E$151:$E$177</definedName>
    <definedName name="T8?axis?R?ПОТ">'[27]8'!$G$116:$J$142,'[27]8'!$G$81:$J$107,'[27]8'!$G$46:$J$72,'[27]8'!$G$11:$J$37,'[27]8'!$G$151:$J$177</definedName>
    <definedName name="T8?axis?R?ПОТ?">'[27]8'!$D$116:$D$142,'[27]8'!$D$81:$D$107,'[27]8'!$D$46:$D$72,'[27]8'!$D$151:$D$177,'[27]8'!$D$11:$D$37</definedName>
    <definedName name="T8?axis?R?СЦТ">'[27]8'!$G$116:$J$142,'[27]8'!$G$81:$J$107,'[27]8'!$G$46:$J$72,'[27]8'!$G$11:$J$37,'[27]8'!$G$151:$J$177</definedName>
    <definedName name="T8?axis?R?СЦТ?">'[27]8'!$C$116:$C$142,'[27]8'!$C$81:$C$107,'[27]8'!$C$46:$C$72,'[27]8'!$C$11:$C$37,'[27]8'!$C$151:$C$177</definedName>
    <definedName name="T8?Data">'[3]8'!$D$10:$L$12,'[3]8'!$D$14:$L$16,'[3]8'!$D$18:$L$20,'[3]8'!$D$22:$L$24,'[3]8'!$D$26:$L$28,'[3]8'!$D$30:$L$32,'[3]8'!$D$36:$L$38,'[3]8'!$D$40:$L$42,'[3]8'!$D$6:$L$8</definedName>
    <definedName name="T8?unit?ГКАЛ.Ч">'[27]8'!$I$116:$I$142,'[27]8'!$G$116:$G$142,'[27]8'!$I$81:$I$107,'[27]8'!$G$81:$G$107,'[27]8'!$I$46:$I$72,'[27]8'!$G$46:$G$72,'[27]8'!$G$11:$G$37,'[27]8'!$I$11:$I$37,'[27]8'!$G$151:$G$177,'[27]8'!$I$151:$I$177</definedName>
    <definedName name="T8?unit?ТГКАЛ">'[27]8'!$J$116:$J$142,'[27]8'!$H$116:$H$142,'[27]8'!$J$81:$J$107,'[27]8'!$H$81:$H$107,'[27]8'!$J$46:$J$72,'[27]8'!$H$46:$H$72,'[27]8'!$H$11:$H$37,'[27]8'!$J$11:$J$37,'[27]8'!$H$151:$H$177,'[27]8'!$J$151:$J$177</definedName>
    <definedName name="T8?unit?ТРУБ">'[3]8'!$D$40:$H$42,'[3]8'!$D$6:$H$32</definedName>
    <definedName name="T9?axis?ПРД?БАЗ">'[30]8'!$J$6:$K$22,'[30]8'!$F$6:$G$22</definedName>
    <definedName name="T9?axis?ПРД?ПРЕД" localSheetId="15">'[30]8'!$L$6:$M$22,'[30]8'!#REF!</definedName>
    <definedName name="T9?axis?ПРД?ПРЕД" localSheetId="21">'[30]8'!$L$6:$M$22,'[30]8'!#REF!</definedName>
    <definedName name="T9?axis?ПРД?ПРЕД" localSheetId="46">'[30]8'!$L$6:$M$22,'[30]8'!#REF!</definedName>
    <definedName name="T9?axis?ПРД?ПРЕД" localSheetId="47">'[30]8'!$L$6:$M$22,'[30]8'!#REF!</definedName>
    <definedName name="T9?axis?ПРД?ПРЕД" localSheetId="7">'[30]8'!$L$6:$M$22,'[30]8'!#REF!</definedName>
    <definedName name="T9?axis?ПРД?ПРЕД">'[30]8'!$L$6:$M$22,'[30]8'!#REF!</definedName>
    <definedName name="T9?axis?ПРД?РЕГ" localSheetId="15">#REF!</definedName>
    <definedName name="T9?axis?ПРД?РЕГ" localSheetId="21">#REF!</definedName>
    <definedName name="T9?axis?ПРД?РЕГ" localSheetId="46">#REF!</definedName>
    <definedName name="T9?axis?ПРД?РЕГ" localSheetId="47">#REF!</definedName>
    <definedName name="T9?axis?ПРД?РЕГ" localSheetId="7">#REF!</definedName>
    <definedName name="T9?axis?ПРД?РЕГ">#REF!</definedName>
    <definedName name="T9?axis?ПФ?ПЛАН" localSheetId="15">'[30]8'!$J$6:$J$22,'[30]8'!#REF!,'[30]8'!$L$6:$L$22,'[30]8'!$F$6:$F$22</definedName>
    <definedName name="T9?axis?ПФ?ПЛАН" localSheetId="21">'[30]8'!$J$6:$J$22,'[30]8'!#REF!,'[30]8'!$L$6:$L$22,'[30]8'!$F$6:$F$22</definedName>
    <definedName name="T9?axis?ПФ?ПЛАН" localSheetId="46">'[30]8'!$J$6:$J$22,'[30]8'!#REF!,'[30]8'!$L$6:$L$22,'[30]8'!$F$6:$F$22</definedName>
    <definedName name="T9?axis?ПФ?ПЛАН" localSheetId="47">'[30]8'!$J$6:$J$22,'[30]8'!#REF!,'[30]8'!$L$6:$L$22,'[30]8'!$F$6:$F$22</definedName>
    <definedName name="T9?axis?ПФ?ПЛАН" localSheetId="7">'[30]8'!$J$6:$J$22,'[30]8'!#REF!,'[30]8'!$L$6:$L$22,'[30]8'!$F$6:$F$22</definedName>
    <definedName name="T9?axis?ПФ?ПЛАН">'[30]8'!$J$6:$J$22,'[30]8'!#REF!,'[30]8'!$L$6:$L$22,'[30]8'!$F$6:$F$22</definedName>
    <definedName name="T9?axis?ПФ?ФАКТ" localSheetId="15">'[30]8'!$K$6:$K$22,'[30]8'!#REF!,'[30]8'!$M$6:$M$22,'[30]8'!$G$6:$G$22</definedName>
    <definedName name="T9?axis?ПФ?ФАКТ" localSheetId="21">'[30]8'!$K$6:$K$22,'[30]8'!#REF!,'[30]8'!$M$6:$M$22,'[30]8'!$G$6:$G$22</definedName>
    <definedName name="T9?axis?ПФ?ФАКТ" localSheetId="46">'[30]8'!$K$6:$K$22,'[30]8'!#REF!,'[30]8'!$M$6:$M$22,'[30]8'!$G$6:$G$22</definedName>
    <definedName name="T9?axis?ПФ?ФАКТ" localSheetId="47">'[30]8'!$K$6:$K$22,'[30]8'!#REF!,'[30]8'!$M$6:$M$22,'[30]8'!$G$6:$G$22</definedName>
    <definedName name="T9?axis?ПФ?ФАКТ" localSheetId="7">'[30]8'!$K$6:$K$22,'[30]8'!#REF!,'[30]8'!$M$6:$M$22,'[30]8'!$G$6:$G$22</definedName>
    <definedName name="T9?axis?ПФ?ФАКТ">'[30]8'!$K$6:$K$22,'[30]8'!#REF!,'[30]8'!$M$6:$M$22,'[30]8'!$G$6:$G$22</definedName>
    <definedName name="T9?axis?R?ПЭ">'[27]9'!$D$10:$P$16,'[27]9'!$D$20:$P$20,'[27]9'!$D$32:$P$38,'[27]9'!$D$42:$P$42</definedName>
    <definedName name="T9?axis?R?ПЭ?">'[27]9'!$B$10:$B$16,'[27]9'!$B$20:$B$20,'[27]9'!$B$32:$B$38,'[27]9'!$B$42:$B$42</definedName>
    <definedName name="T9?axis?R?СЦТ">'[27]9'!$D$24:$P$27,'[27]9'!$D$46:$P$49</definedName>
    <definedName name="T9?axis?R?СЦТ?">'[27]9'!$B$24:$B$27,'[27]9'!$B$46:$B$49</definedName>
    <definedName name="T9?Data">'[30]8'!$D$6:$M$6, '[30]8'!$D$8:$M$9, '[30]8'!$D$11:$M$22</definedName>
    <definedName name="T9?item_ext?ВСЕГО">'[27]9'!$D$22:$P$22,'[27]9'!$D$44:$P$44</definedName>
    <definedName name="T9?item_ext?КОТЕЛЬНЫЕ">'[27]9'!$D$40:$P$40,'[27]9'!$D$18:$P$18</definedName>
    <definedName name="T9?item_ext?РОСТ" localSheetId="15">#REF!</definedName>
    <definedName name="T9?item_ext?РОСТ" localSheetId="21">#REF!</definedName>
    <definedName name="T9?item_ext?РОСТ" localSheetId="46">#REF!</definedName>
    <definedName name="T9?item_ext?РОСТ" localSheetId="47">#REF!</definedName>
    <definedName name="T9?item_ext?РОСТ" localSheetId="7">#REF!</definedName>
    <definedName name="T9?item_ext?РОСТ">#REF!</definedName>
    <definedName name="T9?item_ext?СЦТ">'[27]9'!$D$24:$P$27,'[27]9'!$D$46:$P$49</definedName>
    <definedName name="T9?item_ext?ТЭС">'[27]9'!$D$30:$P$30,'[27]9'!$D$8:$P$8</definedName>
    <definedName name="T9?L1" localSheetId="15">#REF!</definedName>
    <definedName name="T9?L1" localSheetId="21">#REF!</definedName>
    <definedName name="T9?L1" localSheetId="46">#REF!</definedName>
    <definedName name="T9?L1" localSheetId="47">#REF!</definedName>
    <definedName name="T9?L1" localSheetId="7">#REF!</definedName>
    <definedName name="T9?L1">#REF!</definedName>
    <definedName name="T9?L10">'[27]9'!$K$24:$K$27,'[27]9'!$K$30,'[27]9'!$K$32:$K$38,'[27]9'!$K$44,'[27]9'!$K$46:$K$49,'[27]9'!$K$8,'[27]9'!$K$10:$K$16,'[27]9'!$K$22</definedName>
    <definedName name="T9?L11">'[27]9'!$L$20,'[27]9'!$L$22,'[27]9'!$L$24:$L$27,'[27]9'!$L$30,'[27]9'!$L$32:$L$38,'[27]9'!$L$40,'[27]9'!$L$42,'[27]9'!$L$44,'[27]9'!$L$46:$L$49,'[27]9'!$L$8,'[27]9'!$L$10:$L$16,'[27]9'!$L$18</definedName>
    <definedName name="T9?L12">'[27]9'!$M$20,'[27]9'!$M$22,'[27]9'!$M$24:$M$27,'[27]9'!$M$30,'[27]9'!$M$32:$M$38,'[27]9'!$M$40,'[27]9'!$M$42,'[27]9'!$M$44,'[27]9'!$M$46:$M$49,'[27]9'!$M$8,'[27]9'!$M$10:$M$16,'[27]9'!$M$18</definedName>
    <definedName name="T9?L13">'[27]9'!$N$20,'[27]9'!$N$22,'[27]9'!$N$24:$N$27,'[27]9'!$N$30,'[27]9'!$N$32:$N$38,'[27]9'!$N$40,'[27]9'!$N$42,'[27]9'!$N$44,'[27]9'!$N$46:$N$49,'[27]9'!$N$8,'[27]9'!$N$10:$N$16,'[27]9'!$N$18</definedName>
    <definedName name="T9?L14">'[27]9'!$O$20,'[27]9'!$O$22,'[27]9'!$O$24:$O$27,'[27]9'!$O$30,'[27]9'!$O$32:$O$38,'[27]9'!$O$40,'[27]9'!$O$42,'[27]9'!$O$44,'[27]9'!$O$46:$O$49,'[27]9'!$O$8,'[27]9'!$O$10:$O$16,'[27]9'!$O$18</definedName>
    <definedName name="T9?L15">'[27]9'!$P$20,'[27]9'!$P$22,'[27]9'!$P$24:$P$27,'[27]9'!$P$30,'[27]9'!$P$32:$P$38,'[27]9'!$P$40,'[27]9'!$P$42,'[27]9'!$P$44,'[27]9'!$P$46:$P$49,'[27]9'!$P$8,'[27]9'!$P$10:$P$16,'[27]9'!$P$18</definedName>
    <definedName name="T9?L2.1" localSheetId="15">#REF!</definedName>
    <definedName name="T9?L2.1" localSheetId="21">#REF!</definedName>
    <definedName name="T9?L2.1" localSheetId="46">#REF!</definedName>
    <definedName name="T9?L2.1" localSheetId="47">#REF!</definedName>
    <definedName name="T9?L2.1" localSheetId="7">#REF!</definedName>
    <definedName name="T9?L2.1">#REF!</definedName>
    <definedName name="T9?L2.2" localSheetId="15">#REF!</definedName>
    <definedName name="T9?L2.2" localSheetId="21">#REF!</definedName>
    <definedName name="T9?L2.2" localSheetId="46">#REF!</definedName>
    <definedName name="T9?L2.2" localSheetId="7">#REF!</definedName>
    <definedName name="T9?L2.2">#REF!</definedName>
    <definedName name="T9?L3">'[27]9'!$D$24:$D$27,'[27]9'!$D$30,'[27]9'!$D$32:$D$38,'[27]9'!$D$44,'[27]9'!$D$46:$D$49,'[27]9'!$D$8,'[27]9'!$D$10:$D$16,'[27]9'!$D$22</definedName>
    <definedName name="T9?L3.1" localSheetId="15">#REF!</definedName>
    <definedName name="T9?L3.1" localSheetId="21">#REF!</definedName>
    <definedName name="T9?L3.1" localSheetId="46">#REF!</definedName>
    <definedName name="T9?L3.1" localSheetId="47">#REF!</definedName>
    <definedName name="T9?L3.1" localSheetId="7">#REF!</definedName>
    <definedName name="T9?L3.1">#REF!</definedName>
    <definedName name="T9?L3.2" localSheetId="15">#REF!</definedName>
    <definedName name="T9?L3.2" localSheetId="21">#REF!</definedName>
    <definedName name="T9?L3.2" localSheetId="46">#REF!</definedName>
    <definedName name="T9?L3.2" localSheetId="7">#REF!</definedName>
    <definedName name="T9?L3.2">#REF!</definedName>
    <definedName name="T9?L4">'[27]9'!$E$24:$E$27,'[27]9'!$E$30,'[27]9'!$E$32:$E$38,'[27]9'!$E$44,'[27]9'!$E$46:$E$49,'[27]9'!$E$8,'[27]9'!$E$10:$E$16,'[27]9'!$E$22</definedName>
    <definedName name="T9?L4.1" localSheetId="15">#REF!</definedName>
    <definedName name="T9?L4.1" localSheetId="21">#REF!</definedName>
    <definedName name="T9?L4.1" localSheetId="46">#REF!</definedName>
    <definedName name="T9?L4.1" localSheetId="47">#REF!</definedName>
    <definedName name="T9?L4.1" localSheetId="7">#REF!</definedName>
    <definedName name="T9?L4.1">#REF!</definedName>
    <definedName name="T9?L4.2" localSheetId="15">#REF!</definedName>
    <definedName name="T9?L4.2" localSheetId="21">#REF!</definedName>
    <definedName name="T9?L4.2" localSheetId="46">#REF!</definedName>
    <definedName name="T9?L4.2" localSheetId="7">#REF!</definedName>
    <definedName name="T9?L4.2">#REF!</definedName>
    <definedName name="T9?L5" localSheetId="15">#REF!</definedName>
    <definedName name="T9?L5" localSheetId="21">#REF!</definedName>
    <definedName name="T9?L5" localSheetId="46">#REF!</definedName>
    <definedName name="T9?L5" localSheetId="7">#REF!</definedName>
    <definedName name="T9?L5">#REF!</definedName>
    <definedName name="T9?L6">'[27]9'!$G$24:$G$27,'[27]9'!$G$30,'[27]9'!$G$32:$G$38,'[27]9'!$G$44,'[27]9'!$G$46:$G$49,'[27]9'!$G$8,'[27]9'!$G$10:$G$16,'[27]9'!$G$22</definedName>
    <definedName name="T9?L7">'[27]9'!$H$24:$H$27,'[27]9'!$H$30,'[27]9'!$H$32:$H$38,'[27]9'!$H$44,'[27]9'!$H$46:$H$49,'[27]9'!$H$8,'[27]9'!$H$10:$H$16,'[27]9'!$H$22</definedName>
    <definedName name="T9?L8">'[27]9'!$I$24:$I$27,'[27]9'!$I$30,'[27]9'!$I$32:$I$38,'[27]9'!$I$44,'[27]9'!$I$46:$I$49,'[27]9'!$I$8,'[27]9'!$I$10:$I$16,'[27]9'!$I$22</definedName>
    <definedName name="T9?L9">'[27]9'!$J$24:$J$27,'[27]9'!$J$30,'[27]9'!$J$32:$J$38,'[27]9'!$J$44,'[27]9'!$J$46:$J$49,'[27]9'!$J$8,'[27]9'!$J$10:$J$16,'[27]9'!$J$22</definedName>
    <definedName name="T9?Name" localSheetId="15">#REF!</definedName>
    <definedName name="T9?Name" localSheetId="21">#REF!</definedName>
    <definedName name="T9?Name" localSheetId="46">#REF!</definedName>
    <definedName name="T9?Name" localSheetId="47">#REF!</definedName>
    <definedName name="T9?Name" localSheetId="7">#REF!</definedName>
    <definedName name="T9?Name">#REF!</definedName>
    <definedName name="T9?Table" localSheetId="15">#REF!</definedName>
    <definedName name="T9?Table" localSheetId="21">#REF!</definedName>
    <definedName name="T9?Table" localSheetId="46">#REF!</definedName>
    <definedName name="T9?Table" localSheetId="7">#REF!</definedName>
    <definedName name="T9?Table">#REF!</definedName>
    <definedName name="T9?Title" localSheetId="15">#REF!</definedName>
    <definedName name="T9?Title" localSheetId="21">#REF!</definedName>
    <definedName name="T9?Title" localSheetId="46">#REF!</definedName>
    <definedName name="T9?Title" localSheetId="7">#REF!</definedName>
    <definedName name="T9?Title">#REF!</definedName>
    <definedName name="T9?unit?Г.КВТЧ">'[27]9'!$N$7:$N$50,'[27]9'!$J$7:$J$50</definedName>
    <definedName name="T9?unit?МВТЧ" localSheetId="15">#REF!</definedName>
    <definedName name="T9?unit?МВТЧ" localSheetId="21">#REF!</definedName>
    <definedName name="T9?unit?МВТЧ" localSheetId="46">#REF!</definedName>
    <definedName name="T9?unit?МВТЧ" localSheetId="47">#REF!</definedName>
    <definedName name="T9?unit?МВТЧ" localSheetId="7">#REF!</definedName>
    <definedName name="T9?unit?МВТЧ">#REF!</definedName>
    <definedName name="T9?unit?МКВТЧ">'[27]9'!$D$7:$E$50,'[27]9'!$G$7:$G$50,'[27]9'!$I$7:$I$50</definedName>
    <definedName name="T9?unit?ПРЦ" localSheetId="15">#REF!</definedName>
    <definedName name="T9?unit?ПРЦ" localSheetId="21">#REF!</definedName>
    <definedName name="T9?unit?ПРЦ" localSheetId="46">#REF!</definedName>
    <definedName name="T9?unit?ПРЦ" localSheetId="47">#REF!</definedName>
    <definedName name="T9?unit?ПРЦ" localSheetId="7">#REF!</definedName>
    <definedName name="T9?unit?ПРЦ">#REF!</definedName>
    <definedName name="T9?unit?РУБ.МВТЧ">'[30]8'!$D$8:$H$8, '[30]8'!$D$11:$H$11</definedName>
    <definedName name="T9?unit?ТРУБ">'[30]8'!$D$9:$H$9, '[30]8'!$D$12:$H$22</definedName>
    <definedName name="T9?unit?ТТУТ">'[27]9'!$K$7:$K$50,'[27]9'!$O$7:$P$50</definedName>
    <definedName name="te" localSheetId="47">'28-1_Ливневка'!te</definedName>
    <definedName name="te">[0]!te</definedName>
    <definedName name="TP2_1_Data">'[11]P2.1'!$F$7:$J$26,'[11]P2.1'!$H$27:$J$44,'[11]P2.1'!$F$40:$G$43,'[11]P2.1'!$F$28:$G$37</definedName>
    <definedName name="TP2_2_Data">'[11]P2.2'!$H$7:$J$51,'[11]P2.2'!$F$7:$G$47</definedName>
    <definedName name="TP2.1_Protect">'[11]P2.1'!$F$28:$G$37,'[11]P2.1'!$F$40:$G$43,'[11]P2.1'!$F$7:$G$26</definedName>
    <definedName name="TP2.1?Data">'[27]P2.1'!$F$7:$H$26,'[27]P2.1'!$H$27,'[27]P2.1'!$F$28:$H$37,'[27]P2.1'!$H$38:$H$39,'[27]P2.1'!$F$40:$H$43,'[27]P2.1'!$H$44</definedName>
    <definedName name="TP2.1?L5">'[27]P2.1'!$F$40:$F$43,'[27]P2.1'!$F$7:$F$26,'[27]P2.1'!$F$28:$F$37</definedName>
    <definedName name="TP2.1?L6">'[27]P2.1'!$G$7:$G$26,'[27]P2.1'!$G$40:$G$43,'[27]P2.1'!$G$28:$G$37</definedName>
    <definedName name="TP2.1?unit?КМ">'[27]P2.1'!$G$40:$G$43,'[27]P2.1'!$G$28:$G$37,'[27]P2.1'!$G$7:$G$26</definedName>
    <definedName name="TP2.1?unit?УЕ.100КМ">'[27]P2.1'!$F$28:$F$37,'[27]P2.1'!$F$40:$F$43,'[27]P2.1'!$F$7:$F$26</definedName>
    <definedName name="TP2.2?Data">'[27]P2.2'!$F$7:$H$47,'[27]P2.2'!$H$48:$H$51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15">#REF!</definedName>
    <definedName name="tt" localSheetId="21">#REF!</definedName>
    <definedName name="tt" localSheetId="46">#REF!</definedName>
    <definedName name="tt" localSheetId="47">#REF!</definedName>
    <definedName name="tt" localSheetId="7">#REF!</definedName>
    <definedName name="tt">#REF!</definedName>
    <definedName name="tyy" localSheetId="47">'28-1_Ливневка'!tyy</definedName>
    <definedName name="tyy">[0]!tyy</definedName>
    <definedName name="v" localSheetId="47">'28-1_Ливневка'!v</definedName>
    <definedName name="v">[0]!v</definedName>
    <definedName name="vbn" localSheetId="47">'28-1_Ливневка'!vbn</definedName>
    <definedName name="vbn">[0]!vbn</definedName>
    <definedName name="VV" localSheetId="47">'28-1_Ливневка'!VV</definedName>
    <definedName name="VV">[0]!VV</definedName>
    <definedName name="vvv" localSheetId="47">'28-1_Ливневка'!vvv</definedName>
    <definedName name="vvv">[0]!vvv</definedName>
    <definedName name="werwer" localSheetId="47">'28-1_Ливневка'!werwer</definedName>
    <definedName name="werwer">[0]!werwer</definedName>
    <definedName name="wrn.Сравнение._.с._.отраслями." localSheetId="47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x" localSheetId="47">'28-1_Ливневка'!x</definedName>
    <definedName name="x">[0]!x</definedName>
    <definedName name="y" localSheetId="47">'28-1_Ливневка'!y</definedName>
    <definedName name="y">[0]!y</definedName>
    <definedName name="ytrt" localSheetId="47">'28-1_Ливневка'!ytrt</definedName>
    <definedName name="ytrt">[0]!ytrt</definedName>
    <definedName name="yuyy" localSheetId="15">'10-1_К-ция_ПП'!P4_T1?unit?РУБ.ТОНН,'10-1_К-ция_ПП'!P5_T1?unit?РУБ.ТОНН</definedName>
    <definedName name="yuyy" localSheetId="21">'15_Пер. Расх_дин'!P4_T1?unit?РУБ.ТОНН,'15_Пер. Расх_дин'!P5_T1?unit?РУБ.ТОНН</definedName>
    <definedName name="yuyy" localSheetId="46">'28_Кан-ция'!P4_T1?unit?РУБ.ТОНН,'28_Кан-ция'!P5_T1?unit?РУБ.ТОНН</definedName>
    <definedName name="yuyy" localSheetId="47">P4_T1?unit?РУБ.ТОНН,'28-1_Ливневка'!P5_T1?unit?РУБ.ТОНН</definedName>
    <definedName name="yuyy" localSheetId="7">'5-2_ЦГ'!P4_T1?unit?РУБ.ТОНН,'5-2_ЦГ'!P5_T1?unit?РУБ.ТОНН</definedName>
    <definedName name="yuyy">P4_T1?unit?РУБ.ТОНН,P5_T1?unit?РУБ.ТОНН</definedName>
    <definedName name="zc" localSheetId="47">'28-1_Ливневка'!zc</definedName>
    <definedName name="zc">[0]!zc</definedName>
  </definedNames>
  <calcPr calcId="181029"/>
</workbook>
</file>

<file path=xl/calcChain.xml><?xml version="1.0" encoding="utf-8"?>
<calcChain xmlns="http://schemas.openxmlformats.org/spreadsheetml/2006/main">
  <c r="K10" i="64" l="1"/>
  <c r="J3" i="133"/>
  <c r="N12" i="64"/>
  <c r="B8" i="144" l="1"/>
  <c r="D17" i="105"/>
  <c r="L5" i="105"/>
  <c r="F12" i="151"/>
  <c r="D3" i="105"/>
  <c r="E35" i="104" l="1"/>
  <c r="E9" i="104"/>
  <c r="G35" i="104"/>
  <c r="F35" i="104"/>
  <c r="E31" i="104"/>
  <c r="C3" i="155"/>
  <c r="C13" i="106"/>
  <c r="D10" i="106"/>
  <c r="D12" i="106"/>
  <c r="C12" i="106"/>
  <c r="C11" i="106"/>
  <c r="C35" i="143" l="1"/>
  <c r="C36" i="143"/>
  <c r="C34" i="143"/>
  <c r="D36" i="143"/>
  <c r="B7" i="144"/>
  <c r="E7" i="144"/>
  <c r="E8" i="144" s="1"/>
  <c r="I3" i="120"/>
  <c r="B18" i="124"/>
  <c r="D11" i="136"/>
  <c r="D10" i="136"/>
  <c r="A17" i="87"/>
  <c r="A18" i="87" s="1"/>
  <c r="A19" i="87" s="1"/>
  <c r="F13" i="87"/>
  <c r="F12" i="87"/>
  <c r="F11" i="87"/>
  <c r="F10" i="87"/>
  <c r="F8" i="87"/>
  <c r="F7" i="87"/>
  <c r="F3" i="87"/>
  <c r="E5" i="156"/>
  <c r="E4" i="156"/>
  <c r="E3" i="156"/>
  <c r="B10" i="156"/>
  <c r="C10" i="156"/>
  <c r="D10" i="156"/>
  <c r="B11" i="156"/>
  <c r="C11" i="156"/>
  <c r="D11" i="156"/>
  <c r="C9" i="156"/>
  <c r="D9" i="156"/>
  <c r="B9" i="156"/>
  <c r="E3" i="87"/>
  <c r="Y5" i="146"/>
  <c r="D7" i="144"/>
  <c r="I3" i="105"/>
  <c r="E3" i="105"/>
  <c r="H3" i="105"/>
  <c r="B9" i="65"/>
  <c r="E7" i="53"/>
  <c r="F20" i="53"/>
  <c r="G20" i="53"/>
  <c r="H20" i="53"/>
  <c r="I20" i="53"/>
  <c r="J20" i="53"/>
  <c r="K20" i="53"/>
  <c r="L20" i="53"/>
  <c r="F19" i="53"/>
  <c r="G19" i="53"/>
  <c r="H19" i="53"/>
  <c r="I19" i="53"/>
  <c r="J19" i="53"/>
  <c r="K19" i="53"/>
  <c r="L19" i="53"/>
  <c r="M10" i="64"/>
  <c r="F9" i="64"/>
  <c r="C2" i="97"/>
  <c r="D2" i="97"/>
  <c r="E2" i="97"/>
  <c r="F2" i="97"/>
  <c r="G2" i="97"/>
  <c r="H2" i="97"/>
  <c r="I2" i="97"/>
  <c r="J2" i="97"/>
  <c r="K2" i="97"/>
  <c r="B2" i="97"/>
  <c r="D7" i="64"/>
  <c r="E7" i="64"/>
  <c r="F7" i="64"/>
  <c r="G7" i="64"/>
  <c r="H7" i="64"/>
  <c r="I7" i="64"/>
  <c r="J7" i="64"/>
  <c r="K7" i="64"/>
  <c r="L7" i="64"/>
  <c r="C7" i="64"/>
  <c r="F7" i="53"/>
  <c r="D8" i="144"/>
  <c r="C8" i="144"/>
  <c r="D18" i="143"/>
  <c r="F8" i="144" l="1"/>
  <c r="D16" i="143" l="1"/>
  <c r="G3" i="88"/>
  <c r="D22" i="92" s="1"/>
  <c r="F7" i="144" l="1"/>
  <c r="D15" i="143" s="1"/>
  <c r="B10" i="144"/>
  <c r="B9" i="144"/>
  <c r="A10" i="144"/>
  <c r="A9" i="144"/>
  <c r="C7" i="144"/>
  <c r="D11" i="143" l="1"/>
  <c r="D10" i="143"/>
  <c r="D9" i="143"/>
  <c r="D8" i="143"/>
  <c r="B3" i="62"/>
  <c r="H20" i="124"/>
  <c r="V22" i="111"/>
  <c r="G18" i="124"/>
  <c r="C28" i="127"/>
  <c r="C14" i="135" l="1"/>
  <c r="E7" i="124"/>
  <c r="E8" i="124"/>
  <c r="E10" i="124"/>
  <c r="E11" i="124"/>
  <c r="E12" i="124"/>
  <c r="E13" i="124"/>
  <c r="F18" i="87"/>
  <c r="E18" i="124" s="1"/>
  <c r="B4" i="124"/>
  <c r="B5" i="124"/>
  <c r="B6" i="124"/>
  <c r="B7" i="124"/>
  <c r="B8" i="124"/>
  <c r="B9" i="124"/>
  <c r="B10" i="124"/>
  <c r="B11" i="124"/>
  <c r="B12" i="124"/>
  <c r="B13" i="124"/>
  <c r="B14" i="124"/>
  <c r="B15" i="124"/>
  <c r="B16" i="124"/>
  <c r="B17" i="124"/>
  <c r="B3" i="124"/>
  <c r="N15" i="105"/>
  <c r="N16" i="105"/>
  <c r="N14" i="105"/>
  <c r="L16" i="105"/>
  <c r="E16" i="105"/>
  <c r="G16" i="105"/>
  <c r="I16" i="105"/>
  <c r="D16" i="105"/>
  <c r="L15" i="105"/>
  <c r="I15" i="105"/>
  <c r="G15" i="105"/>
  <c r="E15" i="105"/>
  <c r="D15" i="105"/>
  <c r="D14" i="105"/>
  <c r="A15" i="105"/>
  <c r="A16" i="105"/>
  <c r="G34" i="104"/>
  <c r="E34" i="104"/>
  <c r="H18" i="124" l="1"/>
  <c r="F18" i="124"/>
  <c r="H14" i="105"/>
  <c r="E14" i="105"/>
  <c r="I14" i="105"/>
  <c r="G14" i="105"/>
  <c r="F3" i="88" l="1"/>
  <c r="L6" i="105"/>
  <c r="N6" i="105" s="1"/>
  <c r="E21" i="104"/>
  <c r="G21" i="104" s="1"/>
  <c r="E27" i="104"/>
  <c r="G27" i="104" s="1"/>
  <c r="C24" i="104"/>
  <c r="E24" i="104" s="1"/>
  <c r="F24" i="104" s="1"/>
  <c r="E19" i="104"/>
  <c r="F19" i="104" s="1"/>
  <c r="E20" i="104"/>
  <c r="E33" i="104"/>
  <c r="C11" i="127"/>
  <c r="F20" i="104" l="1"/>
  <c r="G20" i="104" s="1"/>
  <c r="E32" i="104" l="1"/>
  <c r="G32" i="104" s="1"/>
  <c r="G33" i="104"/>
  <c r="G31" i="104"/>
  <c r="C50" i="155"/>
  <c r="I49" i="155"/>
  <c r="G49" i="155" s="1"/>
  <c r="C49" i="155" s="1"/>
  <c r="H48" i="155"/>
  <c r="G48" i="155"/>
  <c r="C48" i="155" s="1"/>
  <c r="J44" i="155"/>
  <c r="L44" i="155" s="1"/>
  <c r="H44" i="155"/>
  <c r="I43" i="155"/>
  <c r="G43" i="155" s="1"/>
  <c r="H43" i="155"/>
  <c r="K42" i="155"/>
  <c r="G42" i="155" s="1"/>
  <c r="H42" i="155"/>
  <c r="M41" i="155"/>
  <c r="H41" i="155"/>
  <c r="H40" i="155"/>
  <c r="C40" i="155" s="1"/>
  <c r="G40" i="155"/>
  <c r="C30" i="155"/>
  <c r="H29" i="155"/>
  <c r="C29" i="155" s="1"/>
  <c r="C28" i="155"/>
  <c r="H27" i="155"/>
  <c r="C27" i="155" s="1"/>
  <c r="O26" i="155"/>
  <c r="G26" i="155"/>
  <c r="C26" i="155" s="1"/>
  <c r="H25" i="155"/>
  <c r="C25" i="155" s="1"/>
  <c r="I25" i="155" s="1"/>
  <c r="H24" i="155"/>
  <c r="C24" i="155"/>
  <c r="C23" i="155"/>
  <c r="H22" i="155"/>
  <c r="C22" i="155" s="1"/>
  <c r="C21" i="155"/>
  <c r="H20" i="155"/>
  <c r="C20" i="155" s="1"/>
  <c r="C18" i="155"/>
  <c r="C17" i="155"/>
  <c r="C16" i="155"/>
  <c r="H15" i="155"/>
  <c r="C15" i="155" s="1"/>
  <c r="C14" i="155"/>
  <c r="H13" i="155"/>
  <c r="C13" i="155" s="1"/>
  <c r="C12" i="155"/>
  <c r="H11" i="155"/>
  <c r="C11" i="155" s="1"/>
  <c r="H10" i="155"/>
  <c r="C10" i="155" s="1"/>
  <c r="H9" i="155"/>
  <c r="C9" i="155" s="1"/>
  <c r="H8" i="155"/>
  <c r="C8" i="155" s="1"/>
  <c r="C7" i="155"/>
  <c r="H6" i="155"/>
  <c r="C6" i="155"/>
  <c r="C5" i="155"/>
  <c r="H4" i="155"/>
  <c r="C4" i="155" s="1"/>
  <c r="C42" i="155" l="1"/>
  <c r="C19" i="155"/>
  <c r="C44" i="155"/>
  <c r="C47" i="155"/>
  <c r="C59" i="155" s="1"/>
  <c r="C41" i="155"/>
  <c r="C39" i="155" s="1"/>
  <c r="C58" i="155" s="1"/>
  <c r="G53" i="155" l="1"/>
  <c r="C54" i="155"/>
  <c r="G31" i="155"/>
  <c r="C31" i="155" s="1"/>
  <c r="C32" i="155" s="1"/>
  <c r="D11" i="135" l="1"/>
  <c r="D6" i="135" l="1"/>
  <c r="A3" i="154"/>
  <c r="C3" i="154" s="1"/>
  <c r="E3" i="154" s="1"/>
  <c r="F3" i="154" s="1"/>
  <c r="C23" i="41"/>
  <c r="I13" i="105" l="1"/>
  <c r="E13" i="105"/>
  <c r="D12" i="105"/>
  <c r="H12" i="105" l="1"/>
  <c r="I12" i="105"/>
  <c r="G12" i="105"/>
  <c r="D10" i="105"/>
  <c r="E10" i="105" s="1"/>
  <c r="E3" i="131"/>
  <c r="F3" i="133"/>
  <c r="E16" i="134"/>
  <c r="D6" i="134"/>
  <c r="C6" i="134"/>
  <c r="B6" i="134"/>
  <c r="C6" i="104"/>
  <c r="C4" i="132" l="1"/>
  <c r="E69" i="111"/>
  <c r="C3" i="132"/>
  <c r="L36" i="111"/>
  <c r="L37" i="111"/>
  <c r="I36" i="111"/>
  <c r="I37" i="111"/>
  <c r="H37" i="111"/>
  <c r="H36" i="111"/>
  <c r="I34" i="111"/>
  <c r="H34" i="111"/>
  <c r="L34" i="111"/>
  <c r="H62" i="111"/>
  <c r="I62" i="111"/>
  <c r="L62" i="111"/>
  <c r="H63" i="111"/>
  <c r="I63" i="111"/>
  <c r="J63" i="111" s="1"/>
  <c r="L63" i="111"/>
  <c r="H64" i="111"/>
  <c r="I64" i="111"/>
  <c r="L64" i="111"/>
  <c r="L61" i="111"/>
  <c r="I61" i="111"/>
  <c r="H61" i="111"/>
  <c r="H60" i="111"/>
  <c r="I60" i="111"/>
  <c r="L60" i="111"/>
  <c r="H59" i="111"/>
  <c r="I59" i="111"/>
  <c r="L59" i="111"/>
  <c r="D7" i="128"/>
  <c r="L4" i="128" s="1"/>
  <c r="K5" i="128"/>
  <c r="I5" i="128"/>
  <c r="K4" i="128"/>
  <c r="I4" i="128"/>
  <c r="K3" i="128"/>
  <c r="I3" i="128"/>
  <c r="L3" i="128" l="1"/>
  <c r="L5" i="128" s="1"/>
  <c r="J34" i="111"/>
  <c r="J62" i="111"/>
  <c r="J36" i="111"/>
  <c r="J59" i="111"/>
  <c r="M59" i="111" s="1"/>
  <c r="J61" i="111"/>
  <c r="M61" i="111" s="1"/>
  <c r="J37" i="111"/>
  <c r="M36" i="111"/>
  <c r="M37" i="111"/>
  <c r="M63" i="111"/>
  <c r="J64" i="111"/>
  <c r="M64" i="111" s="1"/>
  <c r="M62" i="111"/>
  <c r="J60" i="111"/>
  <c r="M60" i="111" s="1"/>
  <c r="C10" i="127" l="1"/>
  <c r="D62" i="150" l="1"/>
  <c r="A80" i="150"/>
  <c r="A81" i="150" s="1"/>
  <c r="A82" i="150" s="1"/>
  <c r="A83" i="150" s="1"/>
  <c r="D78" i="150"/>
  <c r="D80" i="150" s="1"/>
  <c r="A74" i="150"/>
  <c r="A75" i="150" s="1"/>
  <c r="A76" i="150" s="1"/>
  <c r="D63" i="150"/>
  <c r="D27" i="150"/>
  <c r="D55" i="150" s="1"/>
  <c r="D83" i="150" s="1"/>
  <c r="D26" i="150"/>
  <c r="D54" i="150" s="1"/>
  <c r="D82" i="150" s="1"/>
  <c r="D34" i="150"/>
  <c r="D31" i="150"/>
  <c r="D32" i="150" s="1"/>
  <c r="D36" i="150" s="1"/>
  <c r="A52" i="150"/>
  <c r="A53" i="150" s="1"/>
  <c r="A54" i="150" s="1"/>
  <c r="A55" i="150" s="1"/>
  <c r="D50" i="150"/>
  <c r="D52" i="150" s="1"/>
  <c r="A46" i="150"/>
  <c r="A47" i="150" s="1"/>
  <c r="A48" i="150" s="1"/>
  <c r="D41" i="150" l="1"/>
  <c r="D35" i="150"/>
  <c r="C13" i="131"/>
  <c r="C12" i="131"/>
  <c r="D3" i="131"/>
  <c r="D4" i="131"/>
  <c r="F4" i="131" s="1"/>
  <c r="D6" i="153"/>
  <c r="F3" i="131" l="1"/>
  <c r="D47" i="150"/>
  <c r="D48" i="150" s="1"/>
  <c r="D40" i="150"/>
  <c r="D42" i="150" s="1"/>
  <c r="D43" i="150" s="1"/>
  <c r="D44" i="150" s="1"/>
  <c r="E5" i="153"/>
  <c r="G5" i="153" s="1"/>
  <c r="E4" i="153"/>
  <c r="E6" i="153"/>
  <c r="G6" i="153" s="1"/>
  <c r="D46" i="150" l="1"/>
  <c r="J5" i="133" s="1"/>
  <c r="G5" i="133" s="1"/>
  <c r="G4" i="153"/>
  <c r="G7" i="153" s="1"/>
  <c r="E7" i="153"/>
  <c r="H5" i="133" l="1"/>
  <c r="D5" i="133"/>
  <c r="E5" i="133" s="1"/>
  <c r="D4" i="133"/>
  <c r="E4" i="133" s="1"/>
  <c r="D3" i="133"/>
  <c r="E3" i="129" l="1"/>
  <c r="D3" i="129" s="1"/>
  <c r="D3" i="130"/>
  <c r="O3" i="130"/>
  <c r="M3" i="130"/>
  <c r="K3" i="150"/>
  <c r="N3" i="150" s="1"/>
  <c r="O3" i="150" s="1"/>
  <c r="C8" i="127" l="1"/>
  <c r="C7" i="127"/>
  <c r="G10" i="151"/>
  <c r="G9" i="151"/>
  <c r="G7" i="151"/>
  <c r="G12" i="151" s="1"/>
  <c r="G5" i="151"/>
  <c r="F10" i="151"/>
  <c r="A6" i="151"/>
  <c r="A7" i="151" s="1"/>
  <c r="A8" i="151" s="1"/>
  <c r="A9" i="151" s="1"/>
  <c r="A10" i="151" s="1"/>
  <c r="A11" i="151" s="1"/>
  <c r="H9" i="151"/>
  <c r="D9" i="151"/>
  <c r="F9" i="151" s="1"/>
  <c r="H8" i="151"/>
  <c r="F8" i="151"/>
  <c r="D8" i="151"/>
  <c r="B8" i="151"/>
  <c r="B9" i="151"/>
  <c r="H7" i="151"/>
  <c r="D7" i="151"/>
  <c r="F7" i="151" s="1"/>
  <c r="F5" i="151"/>
  <c r="B7" i="151"/>
  <c r="J10" i="151"/>
  <c r="H10" i="151"/>
  <c r="D10" i="151"/>
  <c r="D4" i="105"/>
  <c r="I4" i="105" s="1"/>
  <c r="G5" i="152"/>
  <c r="G10" i="152"/>
  <c r="F10" i="152"/>
  <c r="F9" i="152"/>
  <c r="F8" i="152"/>
  <c r="G7" i="152"/>
  <c r="F7" i="152"/>
  <c r="G6" i="152"/>
  <c r="F6" i="152"/>
  <c r="F5" i="152"/>
  <c r="F4" i="152"/>
  <c r="F3" i="152"/>
  <c r="H4" i="105" l="1"/>
  <c r="G4" i="105"/>
  <c r="E4" i="105"/>
  <c r="B8" i="127"/>
  <c r="A4" i="127"/>
  <c r="A5" i="127" s="1"/>
  <c r="A6" i="127" l="1"/>
  <c r="A7" i="127" s="1"/>
  <c r="A8" i="127" s="1"/>
  <c r="A9" i="127" s="1"/>
  <c r="A10" i="127" s="1"/>
  <c r="A11" i="127" s="1"/>
  <c r="A12" i="127" s="1"/>
  <c r="A13" i="127" s="1"/>
  <c r="A14" i="127" s="1"/>
  <c r="A15" i="127" s="1"/>
  <c r="A16" i="127" s="1"/>
  <c r="A17" i="127" s="1"/>
  <c r="A18" i="127" s="1"/>
  <c r="A19" i="127" s="1"/>
  <c r="A20" i="127" s="1"/>
  <c r="A21" i="127" s="1"/>
  <c r="A22" i="127" s="1"/>
  <c r="A23" i="127" s="1"/>
  <c r="A24" i="127" s="1"/>
  <c r="L4" i="105"/>
  <c r="N4" i="105" s="1"/>
  <c r="F9" i="87"/>
  <c r="E9" i="124" s="1"/>
  <c r="E9" i="87"/>
  <c r="D15" i="151" l="1"/>
  <c r="D14" i="151"/>
  <c r="F6" i="151" s="1"/>
  <c r="F11" i="151" s="1"/>
  <c r="D13" i="151"/>
  <c r="D4" i="151"/>
  <c r="F4" i="151" s="1"/>
  <c r="D3" i="151"/>
  <c r="F3" i="151" s="1"/>
  <c r="A4" i="151"/>
  <c r="A5" i="151" s="1"/>
  <c r="E9" i="105"/>
  <c r="G9" i="105"/>
  <c r="I9" i="105"/>
  <c r="G8" i="105"/>
  <c r="I8" i="105"/>
  <c r="E8" i="105"/>
  <c r="D7" i="105"/>
  <c r="I7" i="105" s="1"/>
  <c r="A5" i="150"/>
  <c r="A6" i="150" s="1"/>
  <c r="A7" i="150" s="1"/>
  <c r="A8" i="150" s="1"/>
  <c r="A9" i="150" s="1"/>
  <c r="A10" i="150" s="1"/>
  <c r="A11" i="150" s="1"/>
  <c r="A12" i="150" s="1"/>
  <c r="A13" i="150" s="1"/>
  <c r="A14" i="150" s="1"/>
  <c r="A15" i="150" s="1"/>
  <c r="A16" i="150" s="1"/>
  <c r="A17" i="150" s="1"/>
  <c r="A18" i="150" s="1"/>
  <c r="A19" i="150" s="1"/>
  <c r="A20" i="150" s="1"/>
  <c r="D4" i="150"/>
  <c r="D6" i="150" s="1"/>
  <c r="D3" i="150"/>
  <c r="A24" i="150"/>
  <c r="A25" i="150" s="1"/>
  <c r="A26" i="150" s="1"/>
  <c r="A27" i="150" s="1"/>
  <c r="D22" i="150"/>
  <c r="D24" i="150" s="1"/>
  <c r="A4" i="150"/>
  <c r="L8" i="105" l="1"/>
  <c r="N8" i="105" s="1"/>
  <c r="D5" i="105"/>
  <c r="L9" i="105"/>
  <c r="N9" i="105" s="1"/>
  <c r="E7" i="105"/>
  <c r="G7" i="105"/>
  <c r="D7" i="150"/>
  <c r="D8" i="150" s="1"/>
  <c r="L7" i="105" l="1"/>
  <c r="N7" i="105" s="1"/>
  <c r="D13" i="150"/>
  <c r="D12" i="150"/>
  <c r="D19" i="150"/>
  <c r="D20" i="150" s="1"/>
  <c r="D14" i="150" l="1"/>
  <c r="D15" i="150" l="1"/>
  <c r="C27" i="127"/>
  <c r="C6" i="127" s="1"/>
  <c r="D16" i="150" l="1"/>
  <c r="D18" i="150" s="1"/>
  <c r="D6" i="105"/>
  <c r="G6" i="105" s="1"/>
  <c r="G5" i="105"/>
  <c r="I5" i="105"/>
  <c r="G3" i="105" l="1"/>
  <c r="N5" i="150"/>
  <c r="J4" i="133"/>
  <c r="G4" i="133" s="1"/>
  <c r="I6" i="105"/>
  <c r="D21" i="105"/>
  <c r="E14" i="41"/>
  <c r="J3" i="105" l="1"/>
  <c r="H4" i="133"/>
  <c r="C3" i="120"/>
  <c r="B3" i="120"/>
  <c r="E15" i="87"/>
  <c r="H14" i="87"/>
  <c r="E6" i="87" l="1"/>
  <c r="F6" i="87" s="1"/>
  <c r="E6" i="124" s="1"/>
  <c r="V5" i="146" l="1"/>
  <c r="F4" i="88" l="1"/>
  <c r="F5" i="88" s="1"/>
  <c r="D13" i="143"/>
  <c r="E3" i="124"/>
  <c r="A4" i="87"/>
  <c r="A5" i="87" s="1"/>
  <c r="A6" i="87" s="1"/>
  <c r="A7" i="87" s="1"/>
  <c r="A8" i="87" s="1"/>
  <c r="A9" i="87" s="1"/>
  <c r="A10" i="87" s="1"/>
  <c r="A11" i="87" s="1"/>
  <c r="A12" i="87" s="1"/>
  <c r="A13" i="87" s="1"/>
  <c r="A14" i="87" s="1"/>
  <c r="A15" i="87" s="1"/>
  <c r="A16" i="87" s="1"/>
  <c r="E4" i="125" l="1"/>
  <c r="D4" i="125"/>
  <c r="C4" i="125"/>
  <c r="B191" i="145"/>
  <c r="B4" i="125" s="1"/>
  <c r="F3" i="121"/>
  <c r="E18" i="119" l="1"/>
  <c r="C15" i="119"/>
  <c r="E15" i="119"/>
  <c r="C14" i="119"/>
  <c r="E14" i="119"/>
  <c r="C3" i="119"/>
  <c r="G3" i="124" s="1"/>
  <c r="E13" i="119"/>
  <c r="F9" i="119"/>
  <c r="F5" i="119"/>
  <c r="E11" i="119"/>
  <c r="E8" i="119" s="1"/>
  <c r="E3" i="119" l="1"/>
  <c r="C13" i="119"/>
  <c r="C8" i="119"/>
  <c r="E9" i="119" l="1"/>
  <c r="E5" i="119"/>
  <c r="E6" i="119"/>
  <c r="C6" i="119" s="1"/>
  <c r="C5" i="119"/>
  <c r="E12" i="119" l="1"/>
  <c r="E16" i="119" s="1"/>
  <c r="E17" i="119" s="1"/>
  <c r="C9" i="119"/>
  <c r="V4" i="144"/>
  <c r="U4" i="144"/>
  <c r="T4" i="144"/>
  <c r="S4" i="144"/>
  <c r="R4" i="144"/>
  <c r="E13" i="41" l="1"/>
  <c r="D11" i="106" l="1"/>
  <c r="D8" i="106"/>
  <c r="D7" i="106"/>
  <c r="D6" i="106"/>
  <c r="D5" i="106"/>
  <c r="D4" i="106"/>
  <c r="D3" i="106"/>
  <c r="E7" i="104" l="1"/>
  <c r="C7" i="104"/>
  <c r="F7" i="104" l="1"/>
  <c r="G7" i="104" s="1"/>
  <c r="D7" i="104"/>
  <c r="D32" i="143"/>
  <c r="D14" i="143" l="1"/>
  <c r="C9" i="106"/>
  <c r="D9" i="106" s="1"/>
  <c r="I55" i="111"/>
  <c r="I56" i="111"/>
  <c r="I57" i="111"/>
  <c r="I58" i="111"/>
  <c r="I65" i="111"/>
  <c r="I66" i="111"/>
  <c r="I67" i="111"/>
  <c r="D33" i="143"/>
  <c r="D35" i="143" l="1"/>
  <c r="D34" i="143"/>
  <c r="C7" i="97" l="1"/>
  <c r="F7" i="97"/>
  <c r="G7" i="97"/>
  <c r="H7" i="97"/>
  <c r="I7" i="97"/>
  <c r="J7" i="97"/>
  <c r="K7" i="97"/>
  <c r="B7" i="97"/>
  <c r="G16" i="104" l="1"/>
  <c r="G15" i="104"/>
  <c r="G14" i="104"/>
  <c r="G29" i="104" l="1"/>
  <c r="H17" i="69" l="1"/>
  <c r="I17" i="69"/>
  <c r="J17" i="69"/>
  <c r="K17" i="69"/>
  <c r="L17" i="69"/>
  <c r="M17" i="69"/>
  <c r="G17" i="69"/>
  <c r="F14" i="105"/>
  <c r="L14" i="105" s="1"/>
  <c r="E4" i="61"/>
  <c r="B7" i="61"/>
  <c r="C8" i="53" s="1"/>
  <c r="C3" i="142"/>
  <c r="D3" i="142"/>
  <c r="E3" i="142"/>
  <c r="F3" i="142"/>
  <c r="G3" i="142"/>
  <c r="H3" i="142"/>
  <c r="I3" i="142"/>
  <c r="J3" i="142"/>
  <c r="K3" i="142"/>
  <c r="L3" i="142"/>
  <c r="M3" i="142"/>
  <c r="N3" i="142"/>
  <c r="E26" i="92" l="1"/>
  <c r="F26" i="92" s="1"/>
  <c r="G26" i="92" s="1"/>
  <c r="H26" i="92" s="1"/>
  <c r="I26" i="92" s="1"/>
  <c r="J26" i="92" s="1"/>
  <c r="K26" i="92" s="1"/>
  <c r="L26" i="92" s="1"/>
  <c r="M26" i="92" s="1"/>
  <c r="D17" i="69"/>
  <c r="E17" i="69"/>
  <c r="F17" i="69"/>
  <c r="A32" i="92"/>
  <c r="C16" i="106" l="1"/>
  <c r="C2" i="98"/>
  <c r="D2" i="98"/>
  <c r="E2" i="98"/>
  <c r="F2" i="98"/>
  <c r="G2" i="98"/>
  <c r="H2" i="98"/>
  <c r="I2" i="98"/>
  <c r="J2" i="98"/>
  <c r="K2" i="98"/>
  <c r="B2" i="98"/>
  <c r="B3" i="64"/>
  <c r="B6" i="140"/>
  <c r="K2" i="140"/>
  <c r="J2" i="140"/>
  <c r="I2" i="140"/>
  <c r="H2" i="140"/>
  <c r="G2" i="140"/>
  <c r="F2" i="140"/>
  <c r="E2" i="140"/>
  <c r="D2" i="140"/>
  <c r="C2" i="140"/>
  <c r="B2" i="140"/>
  <c r="M3" i="53"/>
  <c r="D2" i="53"/>
  <c r="E2" i="53"/>
  <c r="F2" i="53"/>
  <c r="G2" i="53"/>
  <c r="H2" i="53"/>
  <c r="I2" i="53"/>
  <c r="J2" i="53"/>
  <c r="K2" i="53"/>
  <c r="L2" i="53"/>
  <c r="C2" i="53"/>
  <c r="C23" i="95"/>
  <c r="D20" i="95"/>
  <c r="C19" i="95"/>
  <c r="D21" i="95" s="1"/>
  <c r="C5" i="95"/>
  <c r="D3" i="95"/>
  <c r="D17" i="95" s="1"/>
  <c r="E3" i="95"/>
  <c r="E17" i="95" s="1"/>
  <c r="F3" i="95"/>
  <c r="F17" i="95" s="1"/>
  <c r="G3" i="95"/>
  <c r="G17" i="95" s="1"/>
  <c r="H3" i="95"/>
  <c r="H17" i="95" s="1"/>
  <c r="I3" i="95"/>
  <c r="I17" i="95" s="1"/>
  <c r="J3" i="95"/>
  <c r="J17" i="95" s="1"/>
  <c r="K3" i="95"/>
  <c r="K17" i="95" s="1"/>
  <c r="L3" i="95"/>
  <c r="L17" i="95" s="1"/>
  <c r="C3" i="95"/>
  <c r="C17" i="95" s="1"/>
  <c r="G5" i="88"/>
  <c r="D24" i="92" s="1"/>
  <c r="E24" i="92" s="1"/>
  <c r="F24" i="92" s="1"/>
  <c r="G24" i="92" s="1"/>
  <c r="H24" i="92" s="1"/>
  <c r="I24" i="92" s="1"/>
  <c r="J24" i="92" s="1"/>
  <c r="K24" i="92" s="1"/>
  <c r="L24" i="92" s="1"/>
  <c r="M24" i="92" s="1"/>
  <c r="G6" i="88"/>
  <c r="D25" i="92" s="1"/>
  <c r="E25" i="92" s="1"/>
  <c r="F25" i="92" s="1"/>
  <c r="G25" i="92" s="1"/>
  <c r="H25" i="92" s="1"/>
  <c r="I25" i="92" s="1"/>
  <c r="J25" i="92" s="1"/>
  <c r="K25" i="92" s="1"/>
  <c r="L25" i="92" s="1"/>
  <c r="M25" i="92" s="1"/>
  <c r="E2" i="92"/>
  <c r="F2" i="92"/>
  <c r="G2" i="92"/>
  <c r="H2" i="92"/>
  <c r="I2" i="92"/>
  <c r="J2" i="92"/>
  <c r="K2" i="92"/>
  <c r="L2" i="92"/>
  <c r="M2" i="92"/>
  <c r="D2" i="92"/>
  <c r="C29" i="72"/>
  <c r="C26" i="72"/>
  <c r="C24" i="72"/>
  <c r="C17" i="72"/>
  <c r="C16" i="72"/>
  <c r="C2" i="61"/>
  <c r="D2" i="61"/>
  <c r="E2" i="61"/>
  <c r="F2" i="61"/>
  <c r="G2" i="61"/>
  <c r="H2" i="61"/>
  <c r="I2" i="61"/>
  <c r="J2" i="61"/>
  <c r="K2" i="61"/>
  <c r="B2" i="61"/>
  <c r="D9" i="88"/>
  <c r="D8" i="88"/>
  <c r="B4" i="88"/>
  <c r="B5" i="88"/>
  <c r="B6" i="92" s="1"/>
  <c r="B6" i="88"/>
  <c r="B3" i="88"/>
  <c r="A3" i="140" s="1"/>
  <c r="F19" i="87"/>
  <c r="E3" i="136" s="1"/>
  <c r="F3" i="136" s="1"/>
  <c r="C10" i="72"/>
  <c r="M14" i="65" l="1"/>
  <c r="U14" i="65"/>
  <c r="S14" i="65"/>
  <c r="P14" i="65"/>
  <c r="O14" i="65"/>
  <c r="N14" i="65"/>
  <c r="D30" i="143"/>
  <c r="Q14" i="65"/>
  <c r="R14" i="65"/>
  <c r="V14" i="65"/>
  <c r="T14" i="65"/>
  <c r="B7" i="92"/>
  <c r="C21" i="95"/>
  <c r="C22" i="95" s="1"/>
  <c r="E21" i="95"/>
  <c r="D22" i="95"/>
  <c r="E20" i="95" s="1"/>
  <c r="E22" i="95" l="1"/>
  <c r="E22" i="92" l="1"/>
  <c r="F30" i="124"/>
  <c r="E15" i="69"/>
  <c r="F15" i="69"/>
  <c r="G15" i="69"/>
  <c r="H15" i="69"/>
  <c r="I15" i="69"/>
  <c r="J15" i="69"/>
  <c r="K15" i="69"/>
  <c r="L15" i="69"/>
  <c r="M15" i="69"/>
  <c r="D15" i="69"/>
  <c r="E13" i="69"/>
  <c r="F13" i="69"/>
  <c r="G13" i="69"/>
  <c r="H13" i="69"/>
  <c r="I13" i="69"/>
  <c r="J13" i="69"/>
  <c r="K13" i="69"/>
  <c r="L13" i="69"/>
  <c r="M13" i="69"/>
  <c r="D13" i="69"/>
  <c r="E10" i="69"/>
  <c r="F10" i="69"/>
  <c r="G10" i="69"/>
  <c r="H10" i="69"/>
  <c r="I10" i="69"/>
  <c r="J10" i="69"/>
  <c r="K10" i="69"/>
  <c r="L10" i="69"/>
  <c r="M10" i="69"/>
  <c r="D10" i="69"/>
  <c r="E8" i="69"/>
  <c r="F8" i="69"/>
  <c r="G8" i="69"/>
  <c r="H8" i="69"/>
  <c r="I8" i="69"/>
  <c r="J8" i="69"/>
  <c r="K8" i="69"/>
  <c r="L8" i="69"/>
  <c r="M8" i="69"/>
  <c r="D8" i="69"/>
  <c r="C9" i="41"/>
  <c r="I17" i="134"/>
  <c r="I16" i="134"/>
  <c r="I18" i="134" s="1"/>
  <c r="I19" i="134" s="1"/>
  <c r="F16" i="134"/>
  <c r="F17" i="134" s="1"/>
  <c r="G13" i="134"/>
  <c r="F13" i="134"/>
  <c r="E13" i="134"/>
  <c r="H13" i="134" s="1"/>
  <c r="G12" i="134"/>
  <c r="F12" i="134"/>
  <c r="E12" i="134"/>
  <c r="H12" i="134" s="1"/>
  <c r="G11" i="134"/>
  <c r="F11" i="134"/>
  <c r="E11" i="134"/>
  <c r="H11" i="134" s="1"/>
  <c r="G10" i="134"/>
  <c r="F10" i="134"/>
  <c r="E10" i="134"/>
  <c r="H10" i="134" s="1"/>
  <c r="G9" i="134"/>
  <c r="F9" i="134"/>
  <c r="E9" i="134"/>
  <c r="H9" i="134" s="1"/>
  <c r="C9" i="134"/>
  <c r="B9" i="134"/>
  <c r="G8" i="134"/>
  <c r="H8" i="134" s="1"/>
  <c r="F8" i="134"/>
  <c r="E8" i="134"/>
  <c r="G7" i="134"/>
  <c r="F7" i="134"/>
  <c r="E7" i="134"/>
  <c r="H7" i="134" s="1"/>
  <c r="G6" i="134"/>
  <c r="F6" i="134"/>
  <c r="E6" i="134"/>
  <c r="E17" i="134" s="1"/>
  <c r="G5" i="134"/>
  <c r="F5" i="134"/>
  <c r="E5" i="134"/>
  <c r="H5" i="134" s="1"/>
  <c r="G4" i="134"/>
  <c r="F4" i="134"/>
  <c r="E4" i="134"/>
  <c r="L11" i="133"/>
  <c r="C10" i="132"/>
  <c r="C12" i="132" s="1"/>
  <c r="C6" i="132"/>
  <c r="C11" i="132" s="1"/>
  <c r="A5" i="132"/>
  <c r="A6" i="132" s="1"/>
  <c r="A7" i="132" s="1"/>
  <c r="A8" i="132" s="1"/>
  <c r="A9" i="132" s="1"/>
  <c r="A10" i="132" s="1"/>
  <c r="A11" i="132" s="1"/>
  <c r="A4" i="132"/>
  <c r="D6" i="131"/>
  <c r="L3" i="130"/>
  <c r="Q3" i="130" s="1"/>
  <c r="C3" i="130"/>
  <c r="F11" i="129"/>
  <c r="C3" i="129"/>
  <c r="A4" i="124"/>
  <c r="A5" i="124" s="1"/>
  <c r="A6" i="124" s="1"/>
  <c r="A7" i="124" s="1"/>
  <c r="A8" i="124" s="1"/>
  <c r="A9" i="124" s="1"/>
  <c r="A10" i="124" s="1"/>
  <c r="A11" i="124" s="1"/>
  <c r="A12" i="124" s="1"/>
  <c r="A13" i="124" s="1"/>
  <c r="A14" i="124" s="1"/>
  <c r="A15" i="124" s="1"/>
  <c r="A16" i="124" s="1"/>
  <c r="A17" i="124" s="1"/>
  <c r="C22" i="87"/>
  <c r="E16" i="124"/>
  <c r="F17" i="87"/>
  <c r="H8" i="124"/>
  <c r="H9" i="124"/>
  <c r="H10" i="124"/>
  <c r="H11" i="124"/>
  <c r="H12" i="124"/>
  <c r="H13" i="124"/>
  <c r="I5" i="133" l="1"/>
  <c r="K5" i="133" s="1"/>
  <c r="I4" i="133"/>
  <c r="K4" i="133" s="1"/>
  <c r="A21" i="124"/>
  <c r="A23" i="124" s="1"/>
  <c r="A24" i="124" s="1"/>
  <c r="A26" i="124" s="1"/>
  <c r="A28" i="124" s="1"/>
  <c r="A18" i="124"/>
  <c r="E17" i="124"/>
  <c r="G16" i="134"/>
  <c r="H6" i="134"/>
  <c r="C13" i="132"/>
  <c r="D3" i="135"/>
  <c r="F22" i="92"/>
  <c r="F28" i="92" s="1"/>
  <c r="G17" i="134"/>
  <c r="G18" i="134"/>
  <c r="G19" i="134" s="1"/>
  <c r="H4" i="134"/>
  <c r="H16" i="134" s="1"/>
  <c r="E18" i="134"/>
  <c r="F18" i="134"/>
  <c r="F19" i="134" s="1"/>
  <c r="C24" i="127"/>
  <c r="C25" i="127" s="1"/>
  <c r="C21" i="87"/>
  <c r="G4" i="125" l="1"/>
  <c r="C26" i="127"/>
  <c r="G14" i="124" s="1"/>
  <c r="F6" i="131"/>
  <c r="D5" i="135"/>
  <c r="G22" i="92"/>
  <c r="E19" i="134"/>
  <c r="D21" i="134" s="1"/>
  <c r="D23" i="134" s="1"/>
  <c r="D20" i="134"/>
  <c r="H17" i="134"/>
  <c r="H18" i="134"/>
  <c r="H19" i="134" s="1"/>
  <c r="H7" i="124"/>
  <c r="H6" i="124"/>
  <c r="F5" i="87"/>
  <c r="F4" i="87"/>
  <c r="H4" i="125" l="1"/>
  <c r="I4" i="125" s="1"/>
  <c r="J4" i="125" s="1"/>
  <c r="E14" i="87" s="1"/>
  <c r="F14" i="87" s="1"/>
  <c r="E14" i="124" s="1"/>
  <c r="H14" i="124" s="1"/>
  <c r="F4" i="125"/>
  <c r="E4" i="124"/>
  <c r="H4" i="124" s="1"/>
  <c r="E5" i="124"/>
  <c r="H5" i="124" s="1"/>
  <c r="C5" i="72"/>
  <c r="H22" i="92"/>
  <c r="D22" i="134"/>
  <c r="C4" i="129" s="1"/>
  <c r="C5" i="129" s="1"/>
  <c r="G7" i="133"/>
  <c r="I7" i="133" s="1"/>
  <c r="F15" i="87"/>
  <c r="E15" i="124" s="1"/>
  <c r="I22" i="92" l="1"/>
  <c r="J7" i="133"/>
  <c r="H7" i="133"/>
  <c r="J22" i="92" l="1"/>
  <c r="K7" i="133"/>
  <c r="K22" i="92" l="1"/>
  <c r="L22" i="92" l="1"/>
  <c r="M22" i="92" l="1"/>
  <c r="C10" i="106" l="1"/>
  <c r="D13" i="106" l="1"/>
  <c r="C14" i="106"/>
  <c r="G8" i="104"/>
  <c r="F11" i="104"/>
  <c r="C11" i="104"/>
  <c r="E11" i="104" s="1"/>
  <c r="F13" i="104"/>
  <c r="E13" i="104"/>
  <c r="G13" i="104" s="1"/>
  <c r="G12" i="104"/>
  <c r="C37" i="104"/>
  <c r="C36" i="104"/>
  <c r="K18" i="105"/>
  <c r="G11" i="104" l="1"/>
  <c r="C5" i="104"/>
  <c r="E5" i="104" l="1"/>
  <c r="C48" i="104"/>
  <c r="C9" i="104"/>
  <c r="F68" i="111" l="1"/>
  <c r="G68" i="111"/>
  <c r="E68" i="111"/>
  <c r="H67" i="111"/>
  <c r="J67" i="111" s="1"/>
  <c r="L67" i="111"/>
  <c r="H66" i="111"/>
  <c r="J66" i="111" s="1"/>
  <c r="L66" i="111"/>
  <c r="I42" i="111"/>
  <c r="L42" i="111"/>
  <c r="I43" i="111"/>
  <c r="L43" i="111"/>
  <c r="H43" i="111"/>
  <c r="H42" i="111"/>
  <c r="H56" i="111"/>
  <c r="J56" i="111" s="1"/>
  <c r="L56" i="111"/>
  <c r="H57" i="111"/>
  <c r="J57" i="111" s="1"/>
  <c r="L57" i="111"/>
  <c r="H58" i="111"/>
  <c r="J58" i="111" s="1"/>
  <c r="L58" i="111"/>
  <c r="H6" i="111"/>
  <c r="I6" i="111"/>
  <c r="L6" i="111"/>
  <c r="H12" i="111"/>
  <c r="I12" i="111"/>
  <c r="L12" i="111"/>
  <c r="I38" i="111"/>
  <c r="L38" i="111"/>
  <c r="H38" i="111"/>
  <c r="I27" i="111"/>
  <c r="J42" i="111" l="1"/>
  <c r="M67" i="111"/>
  <c r="J38" i="111"/>
  <c r="M38" i="111" s="1"/>
  <c r="J12" i="111"/>
  <c r="M12" i="111" s="1"/>
  <c r="J6" i="111"/>
  <c r="M6" i="111" s="1"/>
  <c r="J43" i="111"/>
  <c r="M56" i="111"/>
  <c r="M66" i="111"/>
  <c r="M42" i="111"/>
  <c r="M57" i="111"/>
  <c r="M58" i="111"/>
  <c r="M43" i="111" l="1"/>
  <c r="H16" i="111"/>
  <c r="I16" i="111"/>
  <c r="L16" i="111"/>
  <c r="J16" i="111" l="1"/>
  <c r="M16" i="111" s="1"/>
  <c r="H44" i="111" l="1"/>
  <c r="I44" i="111"/>
  <c r="L44" i="111"/>
  <c r="H45" i="111"/>
  <c r="I45" i="111"/>
  <c r="L45" i="111"/>
  <c r="H46" i="111"/>
  <c r="I46" i="111"/>
  <c r="L46" i="111"/>
  <c r="H47" i="111"/>
  <c r="I47" i="111"/>
  <c r="L47" i="111"/>
  <c r="H48" i="111"/>
  <c r="I48" i="111"/>
  <c r="L48" i="111"/>
  <c r="H49" i="111"/>
  <c r="I49" i="111"/>
  <c r="L49" i="111"/>
  <c r="H50" i="111"/>
  <c r="I50" i="111"/>
  <c r="L50" i="111"/>
  <c r="H51" i="111"/>
  <c r="I51" i="111"/>
  <c r="L51" i="111"/>
  <c r="H52" i="111"/>
  <c r="I52" i="111"/>
  <c r="L52" i="111"/>
  <c r="H53" i="111"/>
  <c r="I53" i="111"/>
  <c r="L53" i="111"/>
  <c r="H54" i="111"/>
  <c r="I54" i="111"/>
  <c r="L54" i="111"/>
  <c r="J52" i="111" l="1"/>
  <c r="J49" i="111"/>
  <c r="M49" i="111" s="1"/>
  <c r="J44" i="111"/>
  <c r="M44" i="111" s="1"/>
  <c r="J45" i="111"/>
  <c r="M45" i="111" s="1"/>
  <c r="J53" i="111"/>
  <c r="M53" i="111" s="1"/>
  <c r="J54" i="111"/>
  <c r="M54" i="111" s="1"/>
  <c r="J48" i="111"/>
  <c r="M48" i="111" s="1"/>
  <c r="J50" i="111"/>
  <c r="M50" i="111" s="1"/>
  <c r="J47" i="111"/>
  <c r="M47" i="111" s="1"/>
  <c r="J46" i="111"/>
  <c r="M46" i="111" s="1"/>
  <c r="M52" i="111"/>
  <c r="J51" i="111"/>
  <c r="M51" i="111" s="1"/>
  <c r="D3" i="120"/>
  <c r="F3" i="120" s="1"/>
  <c r="C28" i="72" s="1"/>
  <c r="B28" i="72" s="1"/>
  <c r="V18" i="111" l="1"/>
  <c r="U18" i="111"/>
  <c r="B18" i="92" l="1"/>
  <c r="B19" i="92"/>
  <c r="A24" i="92"/>
  <c r="A30" i="92" s="1"/>
  <c r="A25" i="92"/>
  <c r="A31" i="92" s="1"/>
  <c r="B11" i="92"/>
  <c r="B23" i="92" s="1"/>
  <c r="B29" i="92" s="1"/>
  <c r="B12" i="92"/>
  <c r="B24" i="92" s="1"/>
  <c r="B30" i="92" s="1"/>
  <c r="B13" i="92"/>
  <c r="B25" i="92" s="1"/>
  <c r="B31" i="92" s="1"/>
  <c r="B10" i="92"/>
  <c r="B22" i="92" s="1"/>
  <c r="B28" i="92" s="1"/>
  <c r="B5" i="92"/>
  <c r="B17" i="92" s="1"/>
  <c r="B4" i="92"/>
  <c r="B16" i="92" s="1"/>
  <c r="D6" i="103" l="1"/>
  <c r="H6" i="103" l="1"/>
  <c r="B10" i="103"/>
  <c r="D6" i="95" l="1"/>
  <c r="L65" i="111"/>
  <c r="H65" i="111"/>
  <c r="L55" i="111"/>
  <c r="H55" i="111"/>
  <c r="J55" i="111" s="1"/>
  <c r="L41" i="111"/>
  <c r="I41" i="111"/>
  <c r="H41" i="111"/>
  <c r="L40" i="111"/>
  <c r="I40" i="111"/>
  <c r="H40" i="111"/>
  <c r="L35" i="111"/>
  <c r="I35" i="111"/>
  <c r="H35" i="111"/>
  <c r="L33" i="111"/>
  <c r="I33" i="111"/>
  <c r="H33" i="111"/>
  <c r="L32" i="111"/>
  <c r="I32" i="111"/>
  <c r="H32" i="111"/>
  <c r="L31" i="111"/>
  <c r="I31" i="111"/>
  <c r="H31" i="111"/>
  <c r="L30" i="111"/>
  <c r="I30" i="111"/>
  <c r="H30" i="111"/>
  <c r="L29" i="111"/>
  <c r="I29" i="111"/>
  <c r="H29" i="111"/>
  <c r="L28" i="111"/>
  <c r="I28" i="111"/>
  <c r="H28" i="111"/>
  <c r="L27" i="111"/>
  <c r="H27" i="111"/>
  <c r="L26" i="111"/>
  <c r="I26" i="111"/>
  <c r="H26" i="111"/>
  <c r="L25" i="111"/>
  <c r="I25" i="111"/>
  <c r="H25" i="111"/>
  <c r="L24" i="111"/>
  <c r="I24" i="111"/>
  <c r="H24" i="111"/>
  <c r="L23" i="111"/>
  <c r="I23" i="111"/>
  <c r="H23" i="111"/>
  <c r="L39" i="111"/>
  <c r="I39" i="111"/>
  <c r="H39" i="111"/>
  <c r="L22" i="111"/>
  <c r="I22" i="111"/>
  <c r="H22" i="111"/>
  <c r="L21" i="111"/>
  <c r="I21" i="111"/>
  <c r="H21" i="111"/>
  <c r="L20" i="111"/>
  <c r="I20" i="111"/>
  <c r="H20" i="111"/>
  <c r="L17" i="111"/>
  <c r="I17" i="111"/>
  <c r="H17" i="111"/>
  <c r="L19" i="111"/>
  <c r="I19" i="111"/>
  <c r="H19" i="111"/>
  <c r="L18" i="111"/>
  <c r="I18" i="111"/>
  <c r="H18" i="111"/>
  <c r="L15" i="111"/>
  <c r="I15" i="111"/>
  <c r="H15" i="111"/>
  <c r="L14" i="111"/>
  <c r="I14" i="111"/>
  <c r="H14" i="111"/>
  <c r="L13" i="111"/>
  <c r="I13" i="111"/>
  <c r="H13" i="111"/>
  <c r="L11" i="111"/>
  <c r="I11" i="111"/>
  <c r="H11" i="111"/>
  <c r="L10" i="111"/>
  <c r="I10" i="111"/>
  <c r="H10" i="111"/>
  <c r="L9" i="111"/>
  <c r="I9" i="111"/>
  <c r="H9" i="111"/>
  <c r="L8" i="111"/>
  <c r="I8" i="111"/>
  <c r="H8" i="111"/>
  <c r="L7" i="111"/>
  <c r="I7" i="111"/>
  <c r="H7" i="111"/>
  <c r="L5" i="111"/>
  <c r="I5" i="111"/>
  <c r="H5" i="111"/>
  <c r="L4" i="111"/>
  <c r="I4" i="111"/>
  <c r="H4" i="111"/>
  <c r="H68" i="111" l="1"/>
  <c r="B9" i="72" s="1"/>
  <c r="C9" i="72" s="1"/>
  <c r="L68" i="111"/>
  <c r="J40" i="111"/>
  <c r="M40" i="111" s="1"/>
  <c r="J27" i="111"/>
  <c r="M27" i="111" s="1"/>
  <c r="J32" i="111"/>
  <c r="M32" i="111" s="1"/>
  <c r="J25" i="111"/>
  <c r="M25" i="111" s="1"/>
  <c r="J31" i="111"/>
  <c r="M31" i="111" s="1"/>
  <c r="J65" i="111"/>
  <c r="M65" i="111" s="1"/>
  <c r="J30" i="111"/>
  <c r="M30" i="111" s="1"/>
  <c r="J5" i="111"/>
  <c r="M5" i="111" s="1"/>
  <c r="J7" i="111"/>
  <c r="M7" i="111" s="1"/>
  <c r="J26" i="111"/>
  <c r="M26" i="111" s="1"/>
  <c r="J29" i="111"/>
  <c r="M29" i="111" s="1"/>
  <c r="J11" i="111"/>
  <c r="M11" i="111" s="1"/>
  <c r="J14" i="111"/>
  <c r="M14" i="111" s="1"/>
  <c r="J21" i="111"/>
  <c r="M21" i="111" s="1"/>
  <c r="J33" i="111"/>
  <c r="M33" i="111" s="1"/>
  <c r="J24" i="111"/>
  <c r="M24" i="111" s="1"/>
  <c r="J35" i="111"/>
  <c r="M35" i="111" s="1"/>
  <c r="J20" i="111"/>
  <c r="J9" i="111"/>
  <c r="M9" i="111" s="1"/>
  <c r="J13" i="111"/>
  <c r="M13" i="111" s="1"/>
  <c r="J18" i="111"/>
  <c r="M18" i="111" s="1"/>
  <c r="J39" i="111"/>
  <c r="J41" i="111"/>
  <c r="M41" i="111" s="1"/>
  <c r="J17" i="111"/>
  <c r="M17" i="111" s="1"/>
  <c r="J22" i="111"/>
  <c r="M22" i="111" s="1"/>
  <c r="J23" i="111"/>
  <c r="J28" i="111"/>
  <c r="M28" i="111" s="1"/>
  <c r="J19" i="111"/>
  <c r="M19" i="111" s="1"/>
  <c r="J10" i="111"/>
  <c r="J15" i="111"/>
  <c r="M15" i="111" s="1"/>
  <c r="J8" i="111"/>
  <c r="M8" i="111" s="1"/>
  <c r="M55" i="111"/>
  <c r="J4" i="111"/>
  <c r="M39" i="111" l="1"/>
  <c r="J69" i="111"/>
  <c r="M10" i="111"/>
  <c r="V19" i="111" s="1"/>
  <c r="U19" i="111"/>
  <c r="M4" i="111"/>
  <c r="U16" i="111"/>
  <c r="B22" i="72" s="1"/>
  <c r="C22" i="72" s="1"/>
  <c r="J68" i="111"/>
  <c r="D17" i="143" s="1"/>
  <c r="M20" i="111"/>
  <c r="U17" i="111"/>
  <c r="M23" i="111"/>
  <c r="V17" i="111" l="1"/>
  <c r="U20" i="111"/>
  <c r="V16" i="111"/>
  <c r="M68" i="111"/>
  <c r="D20" i="105"/>
  <c r="D19" i="105"/>
  <c r="L12" i="105" s="1"/>
  <c r="N12" i="105" s="1"/>
  <c r="H3" i="103"/>
  <c r="D3" i="103"/>
  <c r="D11" i="105" l="1"/>
  <c r="V20" i="111"/>
  <c r="V23" i="111"/>
  <c r="V21" i="111"/>
  <c r="E11" i="105" l="1"/>
  <c r="F11" i="105"/>
  <c r="F18" i="105" s="1"/>
  <c r="G11" i="105"/>
  <c r="I11" i="105"/>
  <c r="E6" i="105"/>
  <c r="G7" i="53"/>
  <c r="H7" i="53" s="1"/>
  <c r="I7" i="53" s="1"/>
  <c r="J7" i="53" s="1"/>
  <c r="K7" i="53" s="1"/>
  <c r="L7" i="53" s="1"/>
  <c r="H11" i="105"/>
  <c r="F7" i="103"/>
  <c r="E37" i="104" l="1"/>
  <c r="E36" i="104"/>
  <c r="C25" i="104"/>
  <c r="E23" i="104"/>
  <c r="F23" i="104" s="1"/>
  <c r="E10" i="104"/>
  <c r="E18" i="104"/>
  <c r="E22" i="104" s="1"/>
  <c r="G19" i="104"/>
  <c r="E6" i="104"/>
  <c r="C38" i="104"/>
  <c r="C17" i="104"/>
  <c r="C22" i="104"/>
  <c r="E4" i="104"/>
  <c r="F4" i="104"/>
  <c r="F6" i="104" l="1"/>
  <c r="F9" i="104" s="1"/>
  <c r="F18" i="104"/>
  <c r="E17" i="104"/>
  <c r="E25" i="104"/>
  <c r="G18" i="104" l="1"/>
  <c r="F22" i="104"/>
  <c r="G22" i="104" s="1"/>
  <c r="I10" i="105"/>
  <c r="H10" i="105"/>
  <c r="E5" i="105"/>
  <c r="H18" i="105" l="1"/>
  <c r="I18" i="105"/>
  <c r="J18" i="105"/>
  <c r="N5" i="105" l="1"/>
  <c r="A4" i="106"/>
  <c r="A5" i="106" s="1"/>
  <c r="A6" i="106" s="1"/>
  <c r="A7" i="106" s="1"/>
  <c r="A8" i="106" s="1"/>
  <c r="A9" i="106" s="1"/>
  <c r="A10" i="106" s="1"/>
  <c r="A11" i="106" s="1"/>
  <c r="A5" i="105"/>
  <c r="A6" i="105" s="1"/>
  <c r="A7" i="105" s="1"/>
  <c r="F45" i="104"/>
  <c r="G42" i="104"/>
  <c r="F38" i="104"/>
  <c r="E38" i="104"/>
  <c r="E41" i="104" s="1"/>
  <c r="G37" i="104"/>
  <c r="G36" i="104"/>
  <c r="G30" i="104"/>
  <c r="G28" i="104"/>
  <c r="G26" i="104"/>
  <c r="F25" i="104"/>
  <c r="G24" i="104"/>
  <c r="G23" i="104"/>
  <c r="G25" i="104" s="1"/>
  <c r="F10" i="104"/>
  <c r="F17" i="104" s="1"/>
  <c r="G6" i="104"/>
  <c r="G9" i="104" s="1"/>
  <c r="G5" i="104"/>
  <c r="G3" i="104"/>
  <c r="G4" i="104" s="1"/>
  <c r="A8" i="105" l="1"/>
  <c r="A9" i="105" s="1"/>
  <c r="A10" i="105" s="1"/>
  <c r="F46" i="104"/>
  <c r="G10" i="104"/>
  <c r="G17" i="104" s="1"/>
  <c r="D14" i="106"/>
  <c r="E43" i="104" s="1"/>
  <c r="G38" i="104"/>
  <c r="E44" i="104"/>
  <c r="G10" i="105"/>
  <c r="L3" i="105"/>
  <c r="N3" i="105" l="1"/>
  <c r="D7" i="143" s="1"/>
  <c r="A11" i="105"/>
  <c r="A12" i="105" s="1"/>
  <c r="A13" i="105" s="1"/>
  <c r="A14" i="105" s="1"/>
  <c r="A17" i="105" s="1"/>
  <c r="L10" i="105"/>
  <c r="N10" i="105" s="1"/>
  <c r="G18" i="105"/>
  <c r="L11" i="105"/>
  <c r="N11" i="105" s="1"/>
  <c r="G43" i="104"/>
  <c r="E18" i="105" l="1"/>
  <c r="E39" i="104"/>
  <c r="L13" i="105"/>
  <c r="N13" i="105" s="1"/>
  <c r="D18" i="105" l="1"/>
  <c r="L17" i="105"/>
  <c r="E40" i="104"/>
  <c r="G40" i="104" s="1"/>
  <c r="G39" i="104"/>
  <c r="N17" i="105" l="1"/>
  <c r="N18" i="105" s="1"/>
  <c r="L18" i="105"/>
  <c r="B5" i="103"/>
  <c r="H5" i="103" l="1"/>
  <c r="D6" i="143"/>
  <c r="F10" i="95"/>
  <c r="C7" i="72"/>
  <c r="B7" i="72" s="1"/>
  <c r="G41" i="104"/>
  <c r="G44" i="104"/>
  <c r="G45" i="104" s="1"/>
  <c r="E45" i="104"/>
  <c r="F11" i="95" l="1"/>
  <c r="G11" i="95" s="1"/>
  <c r="F24" i="95"/>
  <c r="F25" i="95" s="1"/>
  <c r="G25" i="95" s="1"/>
  <c r="H25" i="95" s="1"/>
  <c r="I25" i="95" s="1"/>
  <c r="J25" i="95" s="1"/>
  <c r="K25" i="95" s="1"/>
  <c r="L25" i="95" s="1"/>
  <c r="G46" i="104"/>
  <c r="E46" i="104"/>
  <c r="F26" i="95" l="1"/>
  <c r="G24" i="95" s="1"/>
  <c r="G26" i="95" s="1"/>
  <c r="H24" i="95" s="1"/>
  <c r="H26" i="95" s="1"/>
  <c r="I24" i="95" s="1"/>
  <c r="I26" i="95" s="1"/>
  <c r="J24" i="95" s="1"/>
  <c r="J26" i="95" s="1"/>
  <c r="K24" i="95" s="1"/>
  <c r="B4" i="103"/>
  <c r="F6" i="95"/>
  <c r="B7" i="103" l="1"/>
  <c r="D12" i="143"/>
  <c r="B3" i="65"/>
  <c r="D3" i="97"/>
  <c r="D7" i="97" s="1"/>
  <c r="B3" i="98"/>
  <c r="D4" i="103"/>
  <c r="D5" i="143"/>
  <c r="D9" i="98"/>
  <c r="C27" i="72"/>
  <c r="F20" i="95"/>
  <c r="F7" i="95"/>
  <c r="I6" i="103"/>
  <c r="G4" i="103"/>
  <c r="G5" i="103"/>
  <c r="E5" i="103"/>
  <c r="G6" i="103"/>
  <c r="E6" i="103"/>
  <c r="I5" i="103"/>
  <c r="C4" i="103"/>
  <c r="C3" i="98" l="1"/>
  <c r="D13" i="65" s="1"/>
  <c r="C13" i="65"/>
  <c r="E19" i="53"/>
  <c r="E9" i="64"/>
  <c r="E20" i="53" s="1"/>
  <c r="E7" i="97"/>
  <c r="F11" i="53"/>
  <c r="B27" i="72"/>
  <c r="B30" i="72" s="1"/>
  <c r="C30" i="72" s="1"/>
  <c r="C31" i="72" s="1"/>
  <c r="E5" i="61" s="1"/>
  <c r="F21" i="95"/>
  <c r="F22" i="95" s="1"/>
  <c r="D7" i="103"/>
  <c r="H4" i="103"/>
  <c r="E7" i="103"/>
  <c r="G7" i="103"/>
  <c r="C6" i="103"/>
  <c r="C5" i="103"/>
  <c r="E15" i="64"/>
  <c r="F15" i="64"/>
  <c r="G15" i="64"/>
  <c r="H15" i="64"/>
  <c r="I15" i="64"/>
  <c r="J15" i="64"/>
  <c r="K15" i="64"/>
  <c r="L15" i="64"/>
  <c r="D15" i="64"/>
  <c r="K9" i="98"/>
  <c r="G20" i="95" l="1"/>
  <c r="F27" i="95"/>
  <c r="G21" i="95"/>
  <c r="F28" i="95"/>
  <c r="H26" i="124" s="1"/>
  <c r="F26" i="124" s="1"/>
  <c r="I4" i="103"/>
  <c r="I7" i="103" s="1"/>
  <c r="H7" i="103"/>
  <c r="B13" i="103" s="1"/>
  <c r="C7" i="103"/>
  <c r="H11" i="53"/>
  <c r="J11" i="53"/>
  <c r="D11" i="53"/>
  <c r="E11" i="53"/>
  <c r="G11" i="53"/>
  <c r="I11" i="53"/>
  <c r="K11" i="53"/>
  <c r="L11" i="53"/>
  <c r="C11" i="53"/>
  <c r="C9" i="95"/>
  <c r="C7" i="95"/>
  <c r="C25" i="95" l="1"/>
  <c r="C26" i="95" s="1"/>
  <c r="D25" i="95"/>
  <c r="D28" i="95" s="1"/>
  <c r="E25" i="95"/>
  <c r="E28" i="95" s="1"/>
  <c r="H11" i="95"/>
  <c r="I11" i="95" s="1"/>
  <c r="J11" i="95" s="1"/>
  <c r="K11" i="95" s="1"/>
  <c r="L11" i="95" s="1"/>
  <c r="K26" i="95"/>
  <c r="L24" i="95" s="1"/>
  <c r="L26" i="95" s="1"/>
  <c r="G22" i="95"/>
  <c r="H20" i="95" s="1"/>
  <c r="G28" i="95"/>
  <c r="H21" i="95"/>
  <c r="D11" i="95"/>
  <c r="C11" i="95"/>
  <c r="E11" i="95"/>
  <c r="C8" i="95"/>
  <c r="D24" i="95" l="1"/>
  <c r="C27" i="95"/>
  <c r="G27" i="95"/>
  <c r="I21" i="95"/>
  <c r="H28" i="95"/>
  <c r="H22" i="95"/>
  <c r="C12" i="95"/>
  <c r="D26" i="95" l="1"/>
  <c r="E24" i="95" s="1"/>
  <c r="D27" i="95"/>
  <c r="I20" i="95"/>
  <c r="H27" i="95"/>
  <c r="J21" i="95"/>
  <c r="I28" i="95"/>
  <c r="C13" i="95"/>
  <c r="D10" i="95"/>
  <c r="E26" i="95" l="1"/>
  <c r="E27" i="95"/>
  <c r="K21" i="95"/>
  <c r="J28" i="95"/>
  <c r="I22" i="95"/>
  <c r="J20" i="95" s="1"/>
  <c r="BG1" i="93"/>
  <c r="BH1" i="93"/>
  <c r="BI1" i="93"/>
  <c r="BJ1" i="93"/>
  <c r="AG1" i="93"/>
  <c r="AH1" i="93"/>
  <c r="AI1" i="93"/>
  <c r="AJ1" i="93"/>
  <c r="AK1" i="93"/>
  <c r="AL1" i="93"/>
  <c r="AM1" i="93"/>
  <c r="AN1" i="93"/>
  <c r="AO1" i="93"/>
  <c r="AP1" i="93"/>
  <c r="AQ1" i="93"/>
  <c r="AR1" i="93"/>
  <c r="AS1" i="93"/>
  <c r="AT1" i="93"/>
  <c r="AU1" i="93"/>
  <c r="AV1" i="93"/>
  <c r="AW1" i="93"/>
  <c r="AX1" i="93"/>
  <c r="AY1" i="93"/>
  <c r="AZ1" i="93"/>
  <c r="BA1" i="93"/>
  <c r="BB1" i="93"/>
  <c r="BC1" i="93"/>
  <c r="BD1" i="93"/>
  <c r="BE1" i="93"/>
  <c r="BF1" i="93"/>
  <c r="D1" i="93"/>
  <c r="E1" i="93"/>
  <c r="F1" i="93"/>
  <c r="G1" i="93"/>
  <c r="H1" i="93"/>
  <c r="I1" i="93"/>
  <c r="J1" i="93"/>
  <c r="K1" i="93"/>
  <c r="L1" i="93"/>
  <c r="M1" i="93"/>
  <c r="N1" i="93"/>
  <c r="O1" i="93"/>
  <c r="P1" i="93"/>
  <c r="Q1" i="93"/>
  <c r="R1" i="93"/>
  <c r="S1" i="93"/>
  <c r="T1" i="93"/>
  <c r="U1" i="93"/>
  <c r="V1" i="93"/>
  <c r="W1" i="93"/>
  <c r="X1" i="93"/>
  <c r="Y1" i="93"/>
  <c r="Z1" i="93"/>
  <c r="AA1" i="93"/>
  <c r="AB1" i="93"/>
  <c r="AC1" i="93"/>
  <c r="AD1" i="93"/>
  <c r="AE1" i="93"/>
  <c r="AF1" i="93"/>
  <c r="C1" i="93"/>
  <c r="I27" i="95" l="1"/>
  <c r="J22" i="95"/>
  <c r="K20" i="95" s="1"/>
  <c r="K28" i="95"/>
  <c r="L21" i="95"/>
  <c r="L28" i="95" s="1"/>
  <c r="A23" i="92"/>
  <c r="A29" i="92" s="1"/>
  <c r="A22" i="92"/>
  <c r="A28" i="92" s="1"/>
  <c r="Z3" i="79"/>
  <c r="AA3" i="79"/>
  <c r="AB3" i="79"/>
  <c r="AC3" i="79"/>
  <c r="AD3" i="79"/>
  <c r="AE3" i="79"/>
  <c r="AF3" i="79"/>
  <c r="AG3" i="79"/>
  <c r="AH3" i="79"/>
  <c r="AI3" i="79"/>
  <c r="AJ3" i="79"/>
  <c r="AK3" i="79"/>
  <c r="AL3" i="79"/>
  <c r="AM3" i="79"/>
  <c r="AN3" i="79"/>
  <c r="AO3" i="79"/>
  <c r="AP3" i="79"/>
  <c r="AQ3" i="79"/>
  <c r="AR3" i="79"/>
  <c r="AS3" i="79"/>
  <c r="AT3" i="79"/>
  <c r="AU3" i="79"/>
  <c r="AV3" i="79"/>
  <c r="AW3" i="79"/>
  <c r="AX3" i="79"/>
  <c r="AY3" i="79"/>
  <c r="AZ3" i="79"/>
  <c r="BA3" i="79"/>
  <c r="BB3" i="79"/>
  <c r="BC3" i="79"/>
  <c r="BD3" i="79"/>
  <c r="BE3" i="79"/>
  <c r="BF3" i="79"/>
  <c r="BG3" i="79"/>
  <c r="BH3" i="79"/>
  <c r="BI3" i="79"/>
  <c r="BJ3" i="79"/>
  <c r="J27" i="95" l="1"/>
  <c r="K22" i="95"/>
  <c r="L20" i="95" s="1"/>
  <c r="L22" i="95" s="1"/>
  <c r="L27" i="95" s="1"/>
  <c r="B8" i="61"/>
  <c r="K27" i="95" l="1"/>
  <c r="F4" i="61"/>
  <c r="G4" i="61" l="1"/>
  <c r="H4" i="61" l="1"/>
  <c r="I4" i="61" l="1"/>
  <c r="J4" i="61" l="1"/>
  <c r="K4" i="61" l="1"/>
  <c r="H3" i="93" l="1"/>
  <c r="G3" i="93"/>
  <c r="L3" i="93"/>
  <c r="D3" i="93"/>
  <c r="K3" i="93"/>
  <c r="F3" i="93"/>
  <c r="E3" i="93"/>
  <c r="M3" i="93"/>
  <c r="C3" i="93"/>
  <c r="N3" i="93"/>
  <c r="I3" i="93"/>
  <c r="J3" i="93"/>
  <c r="AE3" i="93"/>
  <c r="AQ3" i="93"/>
  <c r="BC3" i="93"/>
  <c r="T3" i="93"/>
  <c r="AF3" i="93"/>
  <c r="AR3" i="93"/>
  <c r="BD3" i="93"/>
  <c r="S3" i="93"/>
  <c r="W3" i="93" l="1"/>
  <c r="P3" i="93"/>
  <c r="U3" i="93"/>
  <c r="Q3" i="93"/>
  <c r="V3" i="93"/>
  <c r="X3" i="93"/>
  <c r="Y3" i="93"/>
  <c r="R3" i="93"/>
  <c r="Z3" i="93"/>
  <c r="AK3" i="93" l="1"/>
  <c r="AI3" i="93"/>
  <c r="O3" i="93"/>
  <c r="AG3" i="93" l="1"/>
  <c r="AH3" i="93"/>
  <c r="AL3" i="93"/>
  <c r="BG3" i="93"/>
  <c r="AJ3" i="93"/>
  <c r="BI3" i="93"/>
  <c r="AW3" i="93"/>
  <c r="BJ3" i="93"/>
  <c r="AX3" i="93"/>
  <c r="BH3" i="93"/>
  <c r="AV3" i="93"/>
  <c r="BF3" i="93"/>
  <c r="AT3" i="93"/>
  <c r="BE3" i="93"/>
  <c r="AS3" i="93"/>
  <c r="AD3" i="93"/>
  <c r="AC3" i="93"/>
  <c r="AB3" i="93"/>
  <c r="AA3" i="93"/>
  <c r="AU3" i="93" l="1"/>
  <c r="BB3" i="93"/>
  <c r="AP3" i="93"/>
  <c r="BA3" i="93"/>
  <c r="AO3" i="93"/>
  <c r="AZ3" i="93"/>
  <c r="AN3" i="93"/>
  <c r="AY3" i="93"/>
  <c r="AM3" i="93"/>
  <c r="L6" i="98" l="1"/>
  <c r="E9" i="98"/>
  <c r="I9" i="98" l="1"/>
  <c r="H9" i="98"/>
  <c r="J9" i="98"/>
  <c r="G9" i="64"/>
  <c r="L3" i="98"/>
  <c r="D7" i="95" l="1"/>
  <c r="D8" i="95" s="1"/>
  <c r="E6" i="95" s="1"/>
  <c r="E7" i="95"/>
  <c r="G7" i="95" s="1"/>
  <c r="H7" i="95" s="1"/>
  <c r="I7" i="95" s="1"/>
  <c r="J7" i="95" s="1"/>
  <c r="K7" i="95" s="1"/>
  <c r="L7" i="98"/>
  <c r="K9" i="64"/>
  <c r="L9" i="64"/>
  <c r="J9" i="64"/>
  <c r="L4" i="98"/>
  <c r="E8" i="95" l="1"/>
  <c r="F9" i="98"/>
  <c r="L7" i="95"/>
  <c r="D3" i="79"/>
  <c r="E3" i="79"/>
  <c r="F3" i="79"/>
  <c r="G3" i="79"/>
  <c r="H3" i="79"/>
  <c r="I3" i="79"/>
  <c r="J3" i="79"/>
  <c r="K3" i="79"/>
  <c r="L3" i="79"/>
  <c r="M3" i="79"/>
  <c r="N3" i="79"/>
  <c r="O3" i="79"/>
  <c r="P3" i="79"/>
  <c r="Q3" i="79"/>
  <c r="R3" i="79"/>
  <c r="S3" i="79"/>
  <c r="T3" i="79"/>
  <c r="U3" i="79"/>
  <c r="V3" i="79"/>
  <c r="W3" i="79"/>
  <c r="X3" i="79"/>
  <c r="Y3" i="79"/>
  <c r="C3" i="79"/>
  <c r="C2" i="79" s="1"/>
  <c r="F8" i="95" l="1"/>
  <c r="H9" i="64"/>
  <c r="D2" i="79"/>
  <c r="G6" i="95" l="1"/>
  <c r="G8" i="95" s="1"/>
  <c r="H6" i="95" s="1"/>
  <c r="H8" i="95" s="1"/>
  <c r="I6" i="95" s="1"/>
  <c r="I8" i="95" s="1"/>
  <c r="J6" i="95" s="1"/>
  <c r="J8" i="95" s="1"/>
  <c r="K6" i="95" s="1"/>
  <c r="K8" i="95" s="1"/>
  <c r="L6" i="95" s="1"/>
  <c r="L8" i="95" s="1"/>
  <c r="E2" i="79"/>
  <c r="L5" i="98" l="1"/>
  <c r="G9" i="98"/>
  <c r="F2" i="79"/>
  <c r="I9" i="64" l="1"/>
  <c r="G2" i="79"/>
  <c r="H2" i="79" l="1"/>
  <c r="E14" i="95" l="1"/>
  <c r="D15" i="53" s="1"/>
  <c r="D12" i="95"/>
  <c r="D14" i="95"/>
  <c r="C15" i="53" s="1"/>
  <c r="I2" i="79"/>
  <c r="J2" i="79" l="1"/>
  <c r="F14" i="95"/>
  <c r="E15" i="53" s="1"/>
  <c r="E10" i="95"/>
  <c r="D13" i="95"/>
  <c r="M7" i="53" l="1"/>
  <c r="G14" i="95"/>
  <c r="F15" i="53" s="1"/>
  <c r="E12" i="95"/>
  <c r="K2" i="79"/>
  <c r="C19" i="72"/>
  <c r="C15" i="72"/>
  <c r="C6" i="93" l="1"/>
  <c r="E13" i="95"/>
  <c r="L2" i="79"/>
  <c r="F12" i="95"/>
  <c r="B20" i="72"/>
  <c r="C14" i="72"/>
  <c r="C20" i="72" s="1"/>
  <c r="C23" i="72"/>
  <c r="B31" i="72"/>
  <c r="G10" i="95" l="1"/>
  <c r="G12" i="95" s="1"/>
  <c r="H10" i="95" s="1"/>
  <c r="H14" i="95" s="1"/>
  <c r="G15" i="53" s="1"/>
  <c r="F13" i="95"/>
  <c r="F15" i="95" s="1"/>
  <c r="E6" i="61" s="1"/>
  <c r="D6" i="93"/>
  <c r="M2" i="79"/>
  <c r="W5" i="93" l="1"/>
  <c r="AE5" i="93"/>
  <c r="AM5" i="93"/>
  <c r="AU5" i="93"/>
  <c r="BC5" i="93"/>
  <c r="U5" i="93"/>
  <c r="P5" i="93"/>
  <c r="X5" i="93"/>
  <c r="AF5" i="93"/>
  <c r="AN5" i="93"/>
  <c r="AV5" i="93"/>
  <c r="BD5" i="93"/>
  <c r="AZ5" i="93"/>
  <c r="AC5" i="93"/>
  <c r="BA5" i="93"/>
  <c r="Q5" i="93"/>
  <c r="Y5" i="93"/>
  <c r="AG5" i="93"/>
  <c r="AO5" i="93"/>
  <c r="AW5" i="93"/>
  <c r="BE5" i="93"/>
  <c r="AJ5" i="93"/>
  <c r="BI5" i="93"/>
  <c r="R5" i="93"/>
  <c r="Z5" i="93"/>
  <c r="AH5" i="93"/>
  <c r="AP5" i="93"/>
  <c r="AX5" i="93"/>
  <c r="BF5" i="93"/>
  <c r="T5" i="93"/>
  <c r="BH5" i="93"/>
  <c r="AS5" i="93"/>
  <c r="S5" i="93"/>
  <c r="AA5" i="93"/>
  <c r="AI5" i="93"/>
  <c r="AQ5" i="93"/>
  <c r="AY5" i="93"/>
  <c r="BG5" i="93"/>
  <c r="AB5" i="93"/>
  <c r="AR5" i="93"/>
  <c r="AK5" i="93"/>
  <c r="V5" i="93"/>
  <c r="AD5" i="93"/>
  <c r="AL5" i="93"/>
  <c r="AT5" i="93"/>
  <c r="BB5" i="93"/>
  <c r="BJ5" i="93"/>
  <c r="N5" i="93"/>
  <c r="E6" i="93"/>
  <c r="G13" i="95"/>
  <c r="G15" i="95" s="1"/>
  <c r="F6" i="61" s="1"/>
  <c r="H12" i="95"/>
  <c r="I10" i="95" s="1"/>
  <c r="I14" i="95" s="1"/>
  <c r="H15" i="53" s="1"/>
  <c r="N2" i="79"/>
  <c r="M5" i="93" l="1"/>
  <c r="O5" i="93"/>
  <c r="H13" i="95"/>
  <c r="H15" i="95" s="1"/>
  <c r="G6" i="61" s="1"/>
  <c r="O2" i="79"/>
  <c r="I12" i="95"/>
  <c r="J10" i="95" s="1"/>
  <c r="J14" i="95" s="1"/>
  <c r="I15" i="53" s="1"/>
  <c r="F4" i="93" l="1"/>
  <c r="F2" i="93" s="1"/>
  <c r="E4" i="93"/>
  <c r="E2" i="93" s="1"/>
  <c r="E8" i="93"/>
  <c r="D4" i="93"/>
  <c r="D2" i="93" s="1"/>
  <c r="D8" i="93"/>
  <c r="N4" i="93"/>
  <c r="N2" i="93" s="1"/>
  <c r="N8" i="93"/>
  <c r="G4" i="93"/>
  <c r="G2" i="93" s="1"/>
  <c r="G8" i="93"/>
  <c r="I13" i="95"/>
  <c r="I15" i="95" s="1"/>
  <c r="H6" i="61" s="1"/>
  <c r="S4" i="93"/>
  <c r="S2" i="93" s="1"/>
  <c r="J12" i="95"/>
  <c r="K10" i="95" s="1"/>
  <c r="K14" i="95" s="1"/>
  <c r="J15" i="53" s="1"/>
  <c r="P4" i="93"/>
  <c r="P2" i="93" s="1"/>
  <c r="R4" i="93"/>
  <c r="R2" i="93" s="1"/>
  <c r="P2" i="79"/>
  <c r="Q4" i="93" l="1"/>
  <c r="Q2" i="93" s="1"/>
  <c r="F8" i="93"/>
  <c r="P8" i="93"/>
  <c r="T4" i="93"/>
  <c r="T2" i="93" s="1"/>
  <c r="K8" i="93"/>
  <c r="K4" i="93"/>
  <c r="K2" i="93" s="1"/>
  <c r="I8" i="93"/>
  <c r="I4" i="93"/>
  <c r="I2" i="93" s="1"/>
  <c r="M8" i="93"/>
  <c r="M4" i="93"/>
  <c r="M2" i="93" s="1"/>
  <c r="L8" i="93"/>
  <c r="L4" i="93"/>
  <c r="L2" i="93" s="1"/>
  <c r="O8" i="93"/>
  <c r="O4" i="93"/>
  <c r="O2" i="93" s="1"/>
  <c r="J4" i="93"/>
  <c r="J2" i="93" s="1"/>
  <c r="J8" i="93"/>
  <c r="B9" i="98"/>
  <c r="C9" i="64" s="1"/>
  <c r="C4" i="93"/>
  <c r="C2" i="93" s="1"/>
  <c r="C8" i="93"/>
  <c r="H4" i="93"/>
  <c r="H8" i="93"/>
  <c r="K12" i="95"/>
  <c r="L10" i="95" s="1"/>
  <c r="L14" i="95" s="1"/>
  <c r="K15" i="53" s="1"/>
  <c r="L15" i="53" s="1"/>
  <c r="Q2" i="79"/>
  <c r="J13" i="95"/>
  <c r="J15" i="95" s="1"/>
  <c r="I6" i="61" s="1"/>
  <c r="C20" i="53" l="1"/>
  <c r="C11" i="64"/>
  <c r="Q8" i="93"/>
  <c r="C19" i="53"/>
  <c r="H2" i="93"/>
  <c r="L12" i="95"/>
  <c r="R2" i="79"/>
  <c r="K13" i="95"/>
  <c r="K15" i="95" s="1"/>
  <c r="J6" i="61" s="1"/>
  <c r="D12" i="64" l="1"/>
  <c r="D14" i="53" s="1"/>
  <c r="C12" i="64"/>
  <c r="C14" i="53" s="1"/>
  <c r="R8" i="93"/>
  <c r="U4" i="93"/>
  <c r="U2" i="93" s="1"/>
  <c r="L13" i="95"/>
  <c r="L15" i="95" s="1"/>
  <c r="K6" i="61" s="1"/>
  <c r="S2" i="79"/>
  <c r="S8" i="93" l="1"/>
  <c r="V4" i="93"/>
  <c r="V2" i="93" s="1"/>
  <c r="L8" i="98"/>
  <c r="C9" i="98"/>
  <c r="D9" i="64" s="1"/>
  <c r="T2" i="79"/>
  <c r="D19" i="53" l="1"/>
  <c r="T8" i="93"/>
  <c r="L9" i="98"/>
  <c r="W4" i="93"/>
  <c r="W2" i="93" s="1"/>
  <c r="U2" i="79"/>
  <c r="D20" i="53" l="1"/>
  <c r="M9" i="64"/>
  <c r="B5" i="64" s="1"/>
  <c r="B4" i="64" s="1"/>
  <c r="D4" i="64" s="1"/>
  <c r="B9" i="64"/>
  <c r="D11" i="64"/>
  <c r="E12" i="64" s="1"/>
  <c r="U8" i="93"/>
  <c r="X4" i="93"/>
  <c r="X2" i="93" s="1"/>
  <c r="M6" i="93"/>
  <c r="V2" i="79"/>
  <c r="E11" i="64" l="1"/>
  <c r="E14" i="53"/>
  <c r="F12" i="64"/>
  <c r="F11" i="64"/>
  <c r="V8" i="93"/>
  <c r="N6" i="93"/>
  <c r="Y4" i="93"/>
  <c r="Y2" i="93" s="1"/>
  <c r="W2" i="79"/>
  <c r="F14" i="53" l="1"/>
  <c r="G11" i="64"/>
  <c r="G12" i="64"/>
  <c r="G14" i="53" s="1"/>
  <c r="W8" i="93"/>
  <c r="O6" i="93"/>
  <c r="Z4" i="93"/>
  <c r="Z2" i="93" s="1"/>
  <c r="X2" i="79"/>
  <c r="H11" i="64" l="1"/>
  <c r="H12" i="64"/>
  <c r="H14" i="53" s="1"/>
  <c r="X8" i="93"/>
  <c r="AA4" i="93"/>
  <c r="AA2" i="93" s="1"/>
  <c r="P6" i="93"/>
  <c r="Y2" i="79"/>
  <c r="I11" i="64" l="1"/>
  <c r="I12" i="64"/>
  <c r="I14" i="53" s="1"/>
  <c r="Y8" i="93"/>
  <c r="AB4" i="93"/>
  <c r="AB2" i="93" s="1"/>
  <c r="Q6" i="93"/>
  <c r="Z2" i="79"/>
  <c r="J11" i="64" l="1"/>
  <c r="J12" i="64"/>
  <c r="J14" i="53" s="1"/>
  <c r="Z8" i="93"/>
  <c r="AC4" i="93"/>
  <c r="AC2" i="93" s="1"/>
  <c r="R6" i="93"/>
  <c r="AA2" i="79"/>
  <c r="K11" i="64" l="1"/>
  <c r="L11" i="64" s="1"/>
  <c r="M11" i="64" s="1"/>
  <c r="K12" i="64"/>
  <c r="K14" i="53" s="1"/>
  <c r="AA8" i="93"/>
  <c r="S6" i="93"/>
  <c r="AD4" i="93"/>
  <c r="AD2" i="93" s="1"/>
  <c r="AB2" i="79"/>
  <c r="H28" i="124" l="1"/>
  <c r="L12" i="64"/>
  <c r="AB8" i="93"/>
  <c r="T6" i="93"/>
  <c r="AE4" i="93"/>
  <c r="AE2" i="93" s="1"/>
  <c r="AC2" i="79"/>
  <c r="L14" i="53" l="1"/>
  <c r="M12" i="64"/>
  <c r="AC8" i="93"/>
  <c r="AF4" i="93"/>
  <c r="AF2" i="93" s="1"/>
  <c r="U6" i="93"/>
  <c r="AD2" i="79"/>
  <c r="AD8" i="93" l="1"/>
  <c r="AG4" i="93"/>
  <c r="AG2" i="93" s="1"/>
  <c r="V6" i="93"/>
  <c r="AE2" i="79"/>
  <c r="AE8" i="93" l="1"/>
  <c r="AH4" i="93"/>
  <c r="AH2" i="93" s="1"/>
  <c r="W6" i="93"/>
  <c r="AF2" i="79"/>
  <c r="AF8" i="93" l="1"/>
  <c r="X6" i="93"/>
  <c r="AI4" i="93"/>
  <c r="AI2" i="93" s="1"/>
  <c r="AG2" i="79"/>
  <c r="AG8" i="93" l="1"/>
  <c r="Y6" i="93"/>
  <c r="AJ4" i="93"/>
  <c r="AJ2" i="93" s="1"/>
  <c r="AH2" i="79"/>
  <c r="AH8" i="93" l="1"/>
  <c r="AK4" i="93"/>
  <c r="AK2" i="93" s="1"/>
  <c r="Z6" i="93"/>
  <c r="AI2" i="79"/>
  <c r="AI8" i="93" l="1"/>
  <c r="AL4" i="93"/>
  <c r="AL2" i="93" s="1"/>
  <c r="AA6" i="93"/>
  <c r="AJ2" i="79"/>
  <c r="AJ8" i="93" l="1"/>
  <c r="AM4" i="93"/>
  <c r="AM2" i="93" s="1"/>
  <c r="AB6" i="93"/>
  <c r="AK2" i="79"/>
  <c r="AK8" i="93" l="1"/>
  <c r="AC6" i="93"/>
  <c r="AN4" i="93"/>
  <c r="AN2" i="93" s="1"/>
  <c r="AL2" i="79"/>
  <c r="AL8" i="93" l="1"/>
  <c r="AO4" i="93"/>
  <c r="AO2" i="93" s="1"/>
  <c r="AD6" i="93"/>
  <c r="AM2" i="79"/>
  <c r="AM8" i="93" l="1"/>
  <c r="AP4" i="93"/>
  <c r="AP2" i="93" s="1"/>
  <c r="AE6" i="93"/>
  <c r="AN2" i="79"/>
  <c r="AN8" i="93" l="1"/>
  <c r="AQ4" i="93"/>
  <c r="AQ2" i="93" s="1"/>
  <c r="AF6" i="93"/>
  <c r="AO2" i="79"/>
  <c r="AO8" i="93" l="1"/>
  <c r="AR4" i="93"/>
  <c r="AR2" i="93" s="1"/>
  <c r="AG6" i="93"/>
  <c r="AP2" i="79"/>
  <c r="AP8" i="93" l="1"/>
  <c r="AS4" i="93"/>
  <c r="AS2" i="93" s="1"/>
  <c r="AH6" i="93"/>
  <c r="AQ2" i="79"/>
  <c r="AQ8" i="93" l="1"/>
  <c r="AI6" i="93"/>
  <c r="AT4" i="93"/>
  <c r="AT2" i="93" s="1"/>
  <c r="AR2" i="79"/>
  <c r="AR8" i="93" l="1"/>
  <c r="AU4" i="93"/>
  <c r="AU2" i="93" s="1"/>
  <c r="AJ6" i="93"/>
  <c r="AS2" i="79"/>
  <c r="AS8" i="93" l="1"/>
  <c r="AV4" i="93"/>
  <c r="AV2" i="93" s="1"/>
  <c r="AK6" i="93"/>
  <c r="AT2" i="79"/>
  <c r="AT8" i="93" l="1"/>
  <c r="AW4" i="93"/>
  <c r="AW2" i="93" s="1"/>
  <c r="AL6" i="93"/>
  <c r="AU2" i="79"/>
  <c r="AU8" i="93" l="1"/>
  <c r="AX4" i="93"/>
  <c r="AX2" i="93" s="1"/>
  <c r="AM6" i="93"/>
  <c r="AV2" i="79"/>
  <c r="AV8" i="93" l="1"/>
  <c r="AN6" i="93"/>
  <c r="AY4" i="93"/>
  <c r="AY2" i="93" s="1"/>
  <c r="AW2" i="79"/>
  <c r="AW8" i="93" l="1"/>
  <c r="AZ4" i="93"/>
  <c r="AZ2" i="93" s="1"/>
  <c r="AO6" i="93"/>
  <c r="AX2" i="79"/>
  <c r="AX8" i="93" l="1"/>
  <c r="AP6" i="93"/>
  <c r="BA4" i="93"/>
  <c r="BA2" i="93" s="1"/>
  <c r="AY2" i="79"/>
  <c r="AY8" i="93" l="1"/>
  <c r="AQ6" i="93"/>
  <c r="BB4" i="93"/>
  <c r="BB2" i="93" s="1"/>
  <c r="AZ2" i="79"/>
  <c r="AZ8" i="93" l="1"/>
  <c r="BC4" i="93"/>
  <c r="BC2" i="93" s="1"/>
  <c r="AR6" i="93"/>
  <c r="BA2" i="79"/>
  <c r="BA8" i="93" l="1"/>
  <c r="AS6" i="93"/>
  <c r="BD4" i="93"/>
  <c r="BD2" i="93" s="1"/>
  <c r="BB2" i="79"/>
  <c r="BB8" i="93" l="1"/>
  <c r="AT6" i="93"/>
  <c r="BE4" i="93"/>
  <c r="BE2" i="93" s="1"/>
  <c r="BC2" i="79"/>
  <c r="BC8" i="93" l="1"/>
  <c r="AU6" i="93"/>
  <c r="BF4" i="93"/>
  <c r="BF2" i="93" s="1"/>
  <c r="BD2" i="79"/>
  <c r="BD8" i="93" l="1"/>
  <c r="AV6" i="93"/>
  <c r="BG4" i="93"/>
  <c r="BG2" i="93" s="1"/>
  <c r="BE2" i="79"/>
  <c r="BE8" i="93" l="1"/>
  <c r="AW6" i="93"/>
  <c r="BH4" i="93"/>
  <c r="BH2" i="93" s="1"/>
  <c r="BF2" i="79"/>
  <c r="BF8" i="93" l="1"/>
  <c r="BI4" i="93"/>
  <c r="BI2" i="93" s="1"/>
  <c r="AX6" i="93"/>
  <c r="BG2" i="79"/>
  <c r="B10" i="65"/>
  <c r="BG8" i="93" l="1"/>
  <c r="BJ4" i="93"/>
  <c r="BJ2" i="93" s="1"/>
  <c r="AY6" i="93"/>
  <c r="BH2" i="79"/>
  <c r="D11" i="65"/>
  <c r="D14" i="65" s="1"/>
  <c r="E11" i="65"/>
  <c r="E14" i="65" s="1"/>
  <c r="F11" i="65"/>
  <c r="F14" i="65" s="1"/>
  <c r="G11" i="65"/>
  <c r="G14" i="65" s="1"/>
  <c r="H11" i="65"/>
  <c r="H14" i="65" s="1"/>
  <c r="I11" i="65"/>
  <c r="I14" i="65" s="1"/>
  <c r="J11" i="65"/>
  <c r="J14" i="65" s="1"/>
  <c r="K11" i="65"/>
  <c r="K14" i="65" s="1"/>
  <c r="L11" i="65"/>
  <c r="L14" i="65" s="1"/>
  <c r="C11" i="65"/>
  <c r="C14" i="65" s="1"/>
  <c r="BH8" i="93" l="1"/>
  <c r="AZ6" i="93"/>
  <c r="BI2" i="79"/>
  <c r="BI8" i="93" l="1"/>
  <c r="BA6" i="93"/>
  <c r="BJ2" i="79"/>
  <c r="BJ8" i="93" l="1"/>
  <c r="BB6" i="93"/>
  <c r="BC6" i="93" l="1"/>
  <c r="BD6" i="93" l="1"/>
  <c r="G3" i="62"/>
  <c r="E3" i="62"/>
  <c r="H3" i="62" l="1"/>
  <c r="C8" i="72" s="1"/>
  <c r="BE6" i="93"/>
  <c r="B8" i="72" l="1"/>
  <c r="BF6" i="93"/>
  <c r="C7" i="61"/>
  <c r="D8" i="53" s="1"/>
  <c r="C7" i="93"/>
  <c r="M15" i="53"/>
  <c r="B11" i="72" l="1"/>
  <c r="C11" i="72" s="1"/>
  <c r="C12" i="72" s="1"/>
  <c r="D7" i="93"/>
  <c r="BG6" i="93"/>
  <c r="B12" i="72" l="1"/>
  <c r="B33" i="72" s="1"/>
  <c r="C33" i="72"/>
  <c r="H21" i="124" s="1"/>
  <c r="E3" i="61"/>
  <c r="E7" i="61" s="1"/>
  <c r="BH6" i="93"/>
  <c r="E7" i="93"/>
  <c r="F8" i="53" l="1"/>
  <c r="D7" i="61"/>
  <c r="E8" i="53" s="1"/>
  <c r="F3" i="61"/>
  <c r="F6" i="93"/>
  <c r="F5" i="61"/>
  <c r="F7" i="93"/>
  <c r="BI6" i="93"/>
  <c r="F7" i="61" l="1"/>
  <c r="G8" i="53" s="1"/>
  <c r="G3" i="61"/>
  <c r="G6" i="93"/>
  <c r="BJ6" i="93"/>
  <c r="G5" i="61"/>
  <c r="G7" i="93"/>
  <c r="G7" i="61" l="1"/>
  <c r="H8" i="53" s="1"/>
  <c r="H6" i="93"/>
  <c r="H3" i="61"/>
  <c r="H5" i="61"/>
  <c r="H7" i="93"/>
  <c r="I6" i="93" l="1"/>
  <c r="I3" i="61"/>
  <c r="H7" i="61"/>
  <c r="I8" i="53" s="1"/>
  <c r="I5" i="61"/>
  <c r="I7" i="93"/>
  <c r="I7" i="61" l="1"/>
  <c r="J8" i="53" s="1"/>
  <c r="J3" i="61"/>
  <c r="J6" i="93"/>
  <c r="J7" i="93"/>
  <c r="J5" i="61"/>
  <c r="J7" i="61" l="1"/>
  <c r="K8" i="53" s="1"/>
  <c r="K6" i="93"/>
  <c r="K3" i="61"/>
  <c r="L6" i="93" s="1"/>
  <c r="K5" i="61"/>
  <c r="K7" i="93"/>
  <c r="K7" i="61" l="1"/>
  <c r="L8" i="53" s="1"/>
  <c r="M8" i="53" s="1"/>
  <c r="L7" i="93"/>
  <c r="M7" i="93" l="1"/>
  <c r="M9" i="93" s="1"/>
  <c r="M10" i="93" l="1"/>
  <c r="N7" i="93"/>
  <c r="N9" i="93" s="1"/>
  <c r="N10" i="93" l="1"/>
  <c r="O7" i="93"/>
  <c r="O9" i="93" s="1"/>
  <c r="O10" i="93" l="1"/>
  <c r="P7" i="93"/>
  <c r="P9" i="93" s="1"/>
  <c r="P10" i="93" l="1"/>
  <c r="Q7" i="93"/>
  <c r="Q9" i="93" s="1"/>
  <c r="Q10" i="93" l="1"/>
  <c r="R7" i="93"/>
  <c r="R9" i="93" s="1"/>
  <c r="R10" i="93" l="1"/>
  <c r="S7" i="93"/>
  <c r="S9" i="93" s="1"/>
  <c r="S10" i="93" l="1"/>
  <c r="T7" i="93"/>
  <c r="T9" i="93" s="1"/>
  <c r="B15" i="65"/>
  <c r="T10" i="93" l="1"/>
  <c r="U7" i="93"/>
  <c r="U9" i="93" s="1"/>
  <c r="U10" i="93" l="1"/>
  <c r="V7" i="93"/>
  <c r="V9" i="93" s="1"/>
  <c r="V10" i="93" l="1"/>
  <c r="W7" i="93"/>
  <c r="W9" i="93" s="1"/>
  <c r="W10" i="93" l="1"/>
  <c r="X7" i="93"/>
  <c r="X9" i="93" s="1"/>
  <c r="X10" i="93" l="1"/>
  <c r="Y7" i="93"/>
  <c r="Y9" i="93" s="1"/>
  <c r="Y10" i="93" l="1"/>
  <c r="Z7" i="93"/>
  <c r="Z9" i="93" s="1"/>
  <c r="Z10" i="93" l="1"/>
  <c r="AA7" i="93"/>
  <c r="AA9" i="93" s="1"/>
  <c r="AA10" i="93" l="1"/>
  <c r="AB7" i="93"/>
  <c r="AB9" i="93" s="1"/>
  <c r="AB10" i="93" l="1"/>
  <c r="AC7" i="93"/>
  <c r="AC9" i="93" s="1"/>
  <c r="AC10" i="93" l="1"/>
  <c r="AD7" i="93"/>
  <c r="AD9" i="93" s="1"/>
  <c r="AD10" i="93" l="1"/>
  <c r="AE7" i="93"/>
  <c r="AE9" i="93" s="1"/>
  <c r="B12" i="64"/>
  <c r="AE10" i="93" l="1"/>
  <c r="AF7" i="93"/>
  <c r="AF9" i="93" s="1"/>
  <c r="AF10" i="93" l="1"/>
  <c r="AG7" i="93"/>
  <c r="AG9" i="93" s="1"/>
  <c r="AG10" i="93" l="1"/>
  <c r="AH7" i="93"/>
  <c r="AH9" i="93" s="1"/>
  <c r="AH10" i="93" l="1"/>
  <c r="AI7" i="93"/>
  <c r="AI9" i="93" s="1"/>
  <c r="AI10" i="93" l="1"/>
  <c r="AJ7" i="93"/>
  <c r="AJ9" i="93" s="1"/>
  <c r="AJ10" i="93" l="1"/>
  <c r="AK7" i="93"/>
  <c r="AK9" i="93" s="1"/>
  <c r="AK10" i="93" l="1"/>
  <c r="AL7" i="93"/>
  <c r="AL9" i="93" s="1"/>
  <c r="AL10" i="93" l="1"/>
  <c r="AM7" i="93"/>
  <c r="AM9" i="93" s="1"/>
  <c r="AM10" i="93" l="1"/>
  <c r="AN7" i="93"/>
  <c r="AN9" i="93" s="1"/>
  <c r="AN10" i="93" l="1"/>
  <c r="AO7" i="93"/>
  <c r="AO9" i="93" s="1"/>
  <c r="AO10" i="93" l="1"/>
  <c r="AP7" i="93"/>
  <c r="AP9" i="93" s="1"/>
  <c r="AP10" i="93" l="1"/>
  <c r="AQ7" i="93"/>
  <c r="AQ9" i="93" s="1"/>
  <c r="AQ10" i="93" l="1"/>
  <c r="AR7" i="93"/>
  <c r="AR9" i="93" s="1"/>
  <c r="AR10" i="93" l="1"/>
  <c r="AS7" i="93"/>
  <c r="AS9" i="93" s="1"/>
  <c r="AS10" i="93" l="1"/>
  <c r="AT7" i="93"/>
  <c r="AT9" i="93" s="1"/>
  <c r="AT10" i="93" l="1"/>
  <c r="AU7" i="93"/>
  <c r="AU9" i="93" s="1"/>
  <c r="AU10" i="93" l="1"/>
  <c r="AV7" i="93"/>
  <c r="AV9" i="93" s="1"/>
  <c r="AV10" i="93" l="1"/>
  <c r="AW7" i="93"/>
  <c r="AW9" i="93" s="1"/>
  <c r="AW10" i="93" l="1"/>
  <c r="AX7" i="93"/>
  <c r="AX9" i="93" s="1"/>
  <c r="AX10" i="93" l="1"/>
  <c r="AY7" i="93"/>
  <c r="AY9" i="93" s="1"/>
  <c r="AY10" i="93" l="1"/>
  <c r="AZ7" i="93"/>
  <c r="AZ9" i="93" s="1"/>
  <c r="AZ10" i="93" l="1"/>
  <c r="BA7" i="93"/>
  <c r="BA9" i="93" s="1"/>
  <c r="BA10" i="93" l="1"/>
  <c r="BB7" i="93"/>
  <c r="BB9" i="93" s="1"/>
  <c r="BB10" i="93" l="1"/>
  <c r="BC7" i="93"/>
  <c r="BC9" i="93" s="1"/>
  <c r="BC10" i="93" l="1"/>
  <c r="BD7" i="93"/>
  <c r="BD9" i="93" s="1"/>
  <c r="BD10" i="93" l="1"/>
  <c r="BE7" i="93"/>
  <c r="BE9" i="93" s="1"/>
  <c r="BE10" i="93" l="1"/>
  <c r="BF7" i="93"/>
  <c r="BF9" i="93" s="1"/>
  <c r="BF10" i="93" l="1"/>
  <c r="BG7" i="93"/>
  <c r="BG9" i="93" s="1"/>
  <c r="BG10" i="93" l="1"/>
  <c r="BH7" i="93"/>
  <c r="BH9" i="93" s="1"/>
  <c r="BH10" i="93" l="1"/>
  <c r="BI7" i="93"/>
  <c r="BI9" i="93" s="1"/>
  <c r="BI10" i="93" l="1"/>
  <c r="BJ7" i="93"/>
  <c r="BJ9" i="93" s="1"/>
  <c r="BJ10" i="93" l="1"/>
  <c r="M11" i="53" l="1"/>
  <c r="B10" i="64" l="1"/>
  <c r="M14" i="53" l="1"/>
  <c r="C31" i="124" l="1"/>
  <c r="C4" i="69"/>
  <c r="G4" i="69" s="1"/>
  <c r="E3" i="133" l="1"/>
  <c r="G3" i="133" s="1"/>
  <c r="C18" i="69"/>
  <c r="L18" i="69" s="1"/>
  <c r="L8" i="92" s="1"/>
  <c r="G4" i="92"/>
  <c r="G6" i="69"/>
  <c r="G10" i="92" s="1"/>
  <c r="G28" i="92" s="1"/>
  <c r="J4" i="69"/>
  <c r="F21" i="124"/>
  <c r="D5" i="124"/>
  <c r="C4" i="92"/>
  <c r="C10" i="92" s="1"/>
  <c r="F7" i="124"/>
  <c r="F13" i="124"/>
  <c r="D10" i="124"/>
  <c r="F14" i="124"/>
  <c r="D22" i="143" s="1"/>
  <c r="F28" i="124"/>
  <c r="F9" i="124"/>
  <c r="F6" i="124"/>
  <c r="K4" i="69"/>
  <c r="L4" i="69"/>
  <c r="D14" i="124"/>
  <c r="F12" i="124"/>
  <c r="D9" i="124"/>
  <c r="F4" i="124"/>
  <c r="F10" i="124"/>
  <c r="D11" i="124"/>
  <c r="H4" i="69"/>
  <c r="F4" i="69"/>
  <c r="E4" i="69"/>
  <c r="D4" i="69"/>
  <c r="D12" i="124"/>
  <c r="D6" i="124"/>
  <c r="F5" i="124"/>
  <c r="F20" i="124"/>
  <c r="M4" i="69"/>
  <c r="I4" i="69"/>
  <c r="F8" i="124"/>
  <c r="D7" i="124"/>
  <c r="D13" i="124"/>
  <c r="D4" i="124"/>
  <c r="F11" i="124"/>
  <c r="D8" i="124"/>
  <c r="D21" i="143" l="1"/>
  <c r="I3" i="133"/>
  <c r="H3" i="133"/>
  <c r="I18" i="69"/>
  <c r="I8" i="92" s="1"/>
  <c r="J18" i="69"/>
  <c r="J8" i="92" s="1"/>
  <c r="F18" i="69"/>
  <c r="F8" i="92" s="1"/>
  <c r="F14" i="92" s="1"/>
  <c r="F32" i="92" s="1"/>
  <c r="D18" i="69"/>
  <c r="D8" i="92" s="1"/>
  <c r="D14" i="92" s="1"/>
  <c r="D32" i="92" s="1"/>
  <c r="G18" i="69"/>
  <c r="G8" i="92" s="1"/>
  <c r="G14" i="92" s="1"/>
  <c r="G32" i="92" s="1"/>
  <c r="M18" i="69"/>
  <c r="M8" i="92" s="1"/>
  <c r="M14" i="92" s="1"/>
  <c r="M32" i="92" s="1"/>
  <c r="C8" i="92"/>
  <c r="C14" i="92" s="1"/>
  <c r="H18" i="69"/>
  <c r="H8" i="92" s="1"/>
  <c r="H14" i="92" s="1"/>
  <c r="H32" i="92" s="1"/>
  <c r="K18" i="69"/>
  <c r="K8" i="92" s="1"/>
  <c r="E18" i="69"/>
  <c r="E8" i="92" s="1"/>
  <c r="E14" i="92" s="1"/>
  <c r="E32" i="92" s="1"/>
  <c r="B15" i="142"/>
  <c r="C16" i="69"/>
  <c r="C14" i="69"/>
  <c r="E6" i="69"/>
  <c r="E10" i="92" s="1"/>
  <c r="E28" i="92" s="1"/>
  <c r="E4" i="92"/>
  <c r="F6" i="69"/>
  <c r="F10" i="92" s="1"/>
  <c r="F4" i="92"/>
  <c r="J6" i="69"/>
  <c r="J10" i="92" s="1"/>
  <c r="J28" i="92" s="1"/>
  <c r="J4" i="92"/>
  <c r="I14" i="92"/>
  <c r="I32" i="92" s="1"/>
  <c r="L14" i="92"/>
  <c r="L32" i="92" s="1"/>
  <c r="J14" i="92"/>
  <c r="J32" i="92" s="1"/>
  <c r="H4" i="92"/>
  <c r="H6" i="69"/>
  <c r="H10" i="92" s="1"/>
  <c r="H28" i="92" s="1"/>
  <c r="G16" i="92"/>
  <c r="I4" i="92"/>
  <c r="I6" i="69"/>
  <c r="I10" i="92" s="1"/>
  <c r="I28" i="92" s="1"/>
  <c r="M4" i="92"/>
  <c r="M6" i="69"/>
  <c r="M10" i="92" s="1"/>
  <c r="M28" i="92" s="1"/>
  <c r="L4" i="92"/>
  <c r="L6" i="69"/>
  <c r="L10" i="92" s="1"/>
  <c r="L28" i="92" s="1"/>
  <c r="D4" i="92"/>
  <c r="D6" i="69"/>
  <c r="D10" i="92" s="1"/>
  <c r="D28" i="92" s="1"/>
  <c r="K4" i="92"/>
  <c r="K6" i="69"/>
  <c r="K10" i="92" s="1"/>
  <c r="K28" i="92" s="1"/>
  <c r="K14" i="92"/>
  <c r="K32" i="92" s="1"/>
  <c r="K3" i="133" l="1"/>
  <c r="K20" i="92"/>
  <c r="F20" i="92"/>
  <c r="D20" i="92"/>
  <c r="J20" i="92"/>
  <c r="H20" i="92"/>
  <c r="D7" i="69"/>
  <c r="H7" i="142"/>
  <c r="H12" i="142" s="1"/>
  <c r="N7" i="142"/>
  <c r="N12" i="142" s="1"/>
  <c r="C7" i="142"/>
  <c r="C12" i="142" s="1"/>
  <c r="F7" i="142"/>
  <c r="F12" i="142" s="1"/>
  <c r="G7" i="142"/>
  <c r="G12" i="142" s="1"/>
  <c r="M7" i="142"/>
  <c r="M12" i="142" s="1"/>
  <c r="E7" i="142"/>
  <c r="E12" i="142" s="1"/>
  <c r="L7" i="142"/>
  <c r="L12" i="142" s="1"/>
  <c r="J7" i="142"/>
  <c r="J12" i="142" s="1"/>
  <c r="D7" i="142"/>
  <c r="K7" i="142"/>
  <c r="K12" i="142" s="1"/>
  <c r="I7" i="142"/>
  <c r="I12" i="142" s="1"/>
  <c r="C5" i="142"/>
  <c r="C8" i="142"/>
  <c r="D3" i="124"/>
  <c r="C12" i="119"/>
  <c r="C6" i="92"/>
  <c r="C12" i="92" s="1"/>
  <c r="J14" i="69"/>
  <c r="J6" i="92" s="1"/>
  <c r="J12" i="92" s="1"/>
  <c r="E14" i="69"/>
  <c r="E6" i="92" s="1"/>
  <c r="E12" i="92" s="1"/>
  <c r="I14" i="69"/>
  <c r="I6" i="92" s="1"/>
  <c r="I12" i="92" s="1"/>
  <c r="D14" i="69"/>
  <c r="D6" i="92" s="1"/>
  <c r="D12" i="92" s="1"/>
  <c r="H14" i="69"/>
  <c r="H6" i="92" s="1"/>
  <c r="H12" i="92" s="1"/>
  <c r="L14" i="69"/>
  <c r="L6" i="92" s="1"/>
  <c r="L12" i="92" s="1"/>
  <c r="G14" i="69"/>
  <c r="G6" i="92" s="1"/>
  <c r="G12" i="92" s="1"/>
  <c r="F14" i="69"/>
  <c r="F6" i="92" s="1"/>
  <c r="F12" i="92" s="1"/>
  <c r="M14" i="69"/>
  <c r="M6" i="92" s="1"/>
  <c r="M12" i="92" s="1"/>
  <c r="K14" i="69"/>
  <c r="K6" i="92" s="1"/>
  <c r="K12" i="92" s="1"/>
  <c r="C7" i="92"/>
  <c r="C13" i="92" s="1"/>
  <c r="E16" i="69"/>
  <c r="J16" i="69"/>
  <c r="L16" i="69"/>
  <c r="H16" i="69"/>
  <c r="I16" i="69"/>
  <c r="K16" i="69"/>
  <c r="G16" i="69"/>
  <c r="D16" i="69"/>
  <c r="F16" i="69"/>
  <c r="M16" i="69"/>
  <c r="E7" i="69"/>
  <c r="F7" i="69" s="1"/>
  <c r="G7" i="69" s="1"/>
  <c r="H7" i="69" s="1"/>
  <c r="I7" i="69" s="1"/>
  <c r="J7" i="69" s="1"/>
  <c r="K7" i="69" s="1"/>
  <c r="L7" i="69" s="1"/>
  <c r="M7" i="69" s="1"/>
  <c r="F16" i="92"/>
  <c r="D16" i="92"/>
  <c r="J16" i="92"/>
  <c r="H16" i="92"/>
  <c r="I20" i="92"/>
  <c r="L16" i="92"/>
  <c r="E20" i="92"/>
  <c r="E16" i="92"/>
  <c r="M16" i="92"/>
  <c r="I16" i="92"/>
  <c r="G20" i="92"/>
  <c r="K16" i="92"/>
  <c r="M20" i="92"/>
  <c r="L20" i="92"/>
  <c r="D59" i="150" l="1"/>
  <c r="D60" i="150" s="1"/>
  <c r="D64" i="150" s="1"/>
  <c r="D6" i="133"/>
  <c r="E6" i="133" s="1"/>
  <c r="L7" i="92"/>
  <c r="L13" i="92" s="1"/>
  <c r="H18" i="92"/>
  <c r="H30" i="92"/>
  <c r="F7" i="92"/>
  <c r="F13" i="92" s="1"/>
  <c r="I18" i="92"/>
  <c r="I30" i="92"/>
  <c r="C10" i="142"/>
  <c r="C9" i="142"/>
  <c r="D7" i="92"/>
  <c r="D13" i="92" s="1"/>
  <c r="K18" i="92"/>
  <c r="K30" i="92"/>
  <c r="E18" i="92"/>
  <c r="E30" i="92"/>
  <c r="D18" i="92"/>
  <c r="D30" i="92"/>
  <c r="K7" i="92"/>
  <c r="K13" i="92" s="1"/>
  <c r="L18" i="92"/>
  <c r="L30" i="92"/>
  <c r="M7" i="92"/>
  <c r="M13" i="92" s="1"/>
  <c r="E7" i="92"/>
  <c r="E13" i="92" s="1"/>
  <c r="M18" i="92"/>
  <c r="M30" i="92"/>
  <c r="I7" i="92"/>
  <c r="I13" i="92" s="1"/>
  <c r="F18" i="92"/>
  <c r="F30" i="92"/>
  <c r="O7" i="142"/>
  <c r="D12" i="142"/>
  <c r="O12" i="142" s="1"/>
  <c r="J7" i="92"/>
  <c r="J13" i="92" s="1"/>
  <c r="D8" i="142"/>
  <c r="E8" i="142" s="1"/>
  <c r="F8" i="142" s="1"/>
  <c r="G8" i="142" s="1"/>
  <c r="H8" i="142" s="1"/>
  <c r="I8" i="142" s="1"/>
  <c r="J8" i="142" s="1"/>
  <c r="K8" i="142" s="1"/>
  <c r="L8" i="142" s="1"/>
  <c r="M8" i="142" s="1"/>
  <c r="N8" i="142" s="1"/>
  <c r="O8" i="142" s="1"/>
  <c r="P7" i="142" s="1"/>
  <c r="G7" i="92"/>
  <c r="G13" i="92" s="1"/>
  <c r="J18" i="92"/>
  <c r="J30" i="92"/>
  <c r="H7" i="92"/>
  <c r="H13" i="92" s="1"/>
  <c r="G18" i="92"/>
  <c r="G30" i="92"/>
  <c r="D9" i="136"/>
  <c r="D12" i="136" s="1"/>
  <c r="G3" i="136" s="1"/>
  <c r="H3" i="136" s="1"/>
  <c r="I3" i="136" s="1"/>
  <c r="I5" i="136" s="1"/>
  <c r="C9" i="69"/>
  <c r="D69" i="150" l="1"/>
  <c r="D75" i="150"/>
  <c r="D76" i="150" s="1"/>
  <c r="D86" i="150" s="1"/>
  <c r="D68" i="150"/>
  <c r="D70" i="150" s="1"/>
  <c r="D71" i="150" s="1"/>
  <c r="D72" i="150" s="1"/>
  <c r="D74" i="150" s="1"/>
  <c r="E4" i="140"/>
  <c r="F4" i="140" s="1"/>
  <c r="G4" i="140" s="1"/>
  <c r="H4" i="140" s="1"/>
  <c r="I4" i="140" s="1"/>
  <c r="J4" i="140" s="1"/>
  <c r="K4" i="140" s="1"/>
  <c r="D4" i="140"/>
  <c r="O3" i="142"/>
  <c r="M19" i="92"/>
  <c r="M31" i="92"/>
  <c r="F19" i="92"/>
  <c r="F31" i="92"/>
  <c r="K19" i="92"/>
  <c r="K31" i="92"/>
  <c r="D19" i="92"/>
  <c r="D31" i="92"/>
  <c r="I19" i="92"/>
  <c r="I31" i="92"/>
  <c r="J19" i="92"/>
  <c r="J31" i="92"/>
  <c r="E19" i="92"/>
  <c r="E31" i="92"/>
  <c r="H19" i="92"/>
  <c r="H31" i="92"/>
  <c r="D9" i="142"/>
  <c r="E9" i="142" s="1"/>
  <c r="F9" i="142" s="1"/>
  <c r="G9" i="142" s="1"/>
  <c r="H9" i="142" s="1"/>
  <c r="I9" i="142" s="1"/>
  <c r="J9" i="142" s="1"/>
  <c r="K9" i="142" s="1"/>
  <c r="L9" i="142" s="1"/>
  <c r="M9" i="142" s="1"/>
  <c r="N9" i="142" s="1"/>
  <c r="L19" i="92"/>
  <c r="L31" i="92"/>
  <c r="G19" i="92"/>
  <c r="G31" i="92"/>
  <c r="G9" i="69"/>
  <c r="L9" i="69"/>
  <c r="E9" i="69"/>
  <c r="M9" i="69"/>
  <c r="J9" i="69"/>
  <c r="K9" i="69"/>
  <c r="C5" i="92"/>
  <c r="C11" i="92" s="1"/>
  <c r="F9" i="69"/>
  <c r="D9" i="69"/>
  <c r="I9" i="69"/>
  <c r="H9" i="69"/>
  <c r="C11" i="142"/>
  <c r="D4" i="142"/>
  <c r="D5" i="142"/>
  <c r="D10" i="142" s="1"/>
  <c r="J6" i="133" l="1"/>
  <c r="D85" i="150"/>
  <c r="G4" i="88"/>
  <c r="D23" i="92" s="1"/>
  <c r="E23" i="92" s="1"/>
  <c r="F23" i="92" s="1"/>
  <c r="G23" i="92" s="1"/>
  <c r="H23" i="92" s="1"/>
  <c r="I23" i="92" s="1"/>
  <c r="J23" i="92" s="1"/>
  <c r="K23" i="92" s="1"/>
  <c r="L23" i="92" s="1"/>
  <c r="M23" i="92" s="1"/>
  <c r="L5" i="92"/>
  <c r="L11" i="69"/>
  <c r="L11" i="92" s="1"/>
  <c r="H5" i="92"/>
  <c r="H11" i="69"/>
  <c r="H11" i="92" s="1"/>
  <c r="F5" i="92"/>
  <c r="F11" i="69"/>
  <c r="F11" i="92" s="1"/>
  <c r="I11" i="69"/>
  <c r="I11" i="92" s="1"/>
  <c r="I5" i="92"/>
  <c r="E5" i="92"/>
  <c r="E11" i="69"/>
  <c r="E11" i="92" s="1"/>
  <c r="D11" i="69"/>
  <c r="D11" i="92" s="1"/>
  <c r="D5" i="92"/>
  <c r="B4" i="140" s="1"/>
  <c r="K5" i="92"/>
  <c r="K11" i="69"/>
  <c r="K11" i="92" s="1"/>
  <c r="J11" i="69"/>
  <c r="J11" i="92" s="1"/>
  <c r="J5" i="92"/>
  <c r="G5" i="92"/>
  <c r="G11" i="69"/>
  <c r="G11" i="92" s="1"/>
  <c r="E5" i="142"/>
  <c r="E10" i="142" s="1"/>
  <c r="D11" i="142"/>
  <c r="E4" i="142"/>
  <c r="M11" i="69"/>
  <c r="M11" i="92" s="1"/>
  <c r="M5" i="92"/>
  <c r="O9" i="142"/>
  <c r="G6" i="133" l="1"/>
  <c r="J8" i="133"/>
  <c r="D4" i="129" s="1"/>
  <c r="D5" i="129" s="1"/>
  <c r="E29" i="92"/>
  <c r="E33" i="92" s="1"/>
  <c r="D4" i="53" s="1"/>
  <c r="G29" i="92"/>
  <c r="H24" i="124" s="1"/>
  <c r="F24" i="124" s="1"/>
  <c r="D29" i="92"/>
  <c r="D33" i="92" s="1"/>
  <c r="C4" i="53" s="1"/>
  <c r="L29" i="92"/>
  <c r="I29" i="92"/>
  <c r="I33" i="92" s="1"/>
  <c r="H4" i="53" s="1"/>
  <c r="J29" i="92"/>
  <c r="J33" i="92" s="1"/>
  <c r="I4" i="53" s="1"/>
  <c r="M29" i="92"/>
  <c r="M33" i="92" s="1"/>
  <c r="L4" i="53" s="1"/>
  <c r="F29" i="92"/>
  <c r="F33" i="92" s="1"/>
  <c r="E4" i="53" s="1"/>
  <c r="K29" i="92"/>
  <c r="K33" i="92" s="1"/>
  <c r="J4" i="53" s="1"/>
  <c r="D12" i="69"/>
  <c r="E12" i="69" s="1"/>
  <c r="H3" i="124"/>
  <c r="F3" i="124" s="1"/>
  <c r="D20" i="143" s="1"/>
  <c r="H29" i="92"/>
  <c r="H33" i="92" s="1"/>
  <c r="G4" i="53" s="1"/>
  <c r="G33" i="92"/>
  <c r="F4" i="53" s="1"/>
  <c r="L33" i="92"/>
  <c r="K4" i="53" s="1"/>
  <c r="D17" i="92"/>
  <c r="F4" i="142"/>
  <c r="F5" i="142"/>
  <c r="F10" i="142" s="1"/>
  <c r="E11" i="142"/>
  <c r="M17" i="92"/>
  <c r="J17" i="92"/>
  <c r="E17" i="92"/>
  <c r="H17" i="92"/>
  <c r="K17" i="92"/>
  <c r="F17" i="92"/>
  <c r="G17" i="92"/>
  <c r="I17" i="92"/>
  <c r="L17" i="92"/>
  <c r="I6" i="133" l="1"/>
  <c r="H6" i="133"/>
  <c r="H8" i="133" s="1"/>
  <c r="G8" i="133"/>
  <c r="D5" i="131" s="1"/>
  <c r="F5" i="131" s="1"/>
  <c r="C5" i="93"/>
  <c r="C9" i="93" s="1"/>
  <c r="C10" i="93" s="1"/>
  <c r="H23" i="124"/>
  <c r="F23" i="124" s="1"/>
  <c r="M4" i="53"/>
  <c r="D5" i="93"/>
  <c r="D9" i="93" s="1"/>
  <c r="D10" i="93" s="1"/>
  <c r="F12" i="69"/>
  <c r="G4" i="142"/>
  <c r="G5" i="142"/>
  <c r="G10" i="142" s="1"/>
  <c r="F11" i="142"/>
  <c r="D7" i="131" l="1"/>
  <c r="F7" i="131" s="1"/>
  <c r="D4" i="135" s="1"/>
  <c r="K6" i="133"/>
  <c r="K8" i="133" s="1"/>
  <c r="E4" i="129" s="1"/>
  <c r="E5" i="129" s="1"/>
  <c r="G15" i="124" s="1"/>
  <c r="I8" i="133"/>
  <c r="C4" i="140"/>
  <c r="E5" i="93"/>
  <c r="E9" i="93" s="1"/>
  <c r="E10" i="93" s="1"/>
  <c r="G12" i="69"/>
  <c r="H4" i="142"/>
  <c r="H5" i="142"/>
  <c r="H10" i="142" s="1"/>
  <c r="G11" i="142"/>
  <c r="H15" i="124" l="1"/>
  <c r="D15" i="124"/>
  <c r="F8" i="131"/>
  <c r="D9" i="135"/>
  <c r="D7" i="135"/>
  <c r="D8" i="135" s="1"/>
  <c r="I4" i="142"/>
  <c r="H11" i="142"/>
  <c r="I5" i="142"/>
  <c r="I10" i="142" s="1"/>
  <c r="F5" i="93"/>
  <c r="F9" i="93" s="1"/>
  <c r="F10" i="93" s="1"/>
  <c r="H12" i="69"/>
  <c r="D12" i="135" l="1"/>
  <c r="F9" i="135"/>
  <c r="G17" i="124" s="1"/>
  <c r="F10" i="131"/>
  <c r="F9" i="131"/>
  <c r="D24" i="143" s="1"/>
  <c r="F15" i="124"/>
  <c r="J4" i="142"/>
  <c r="J5" i="142"/>
  <c r="J10" i="142" s="1"/>
  <c r="I11" i="142"/>
  <c r="G5" i="93"/>
  <c r="G9" i="93" s="1"/>
  <c r="G10" i="93" s="1"/>
  <c r="I12" i="69"/>
  <c r="G16" i="124" l="1"/>
  <c r="H3" i="120"/>
  <c r="J3" i="120" s="1"/>
  <c r="H17" i="124"/>
  <c r="F17" i="124" s="1"/>
  <c r="D17" i="124"/>
  <c r="D23" i="143"/>
  <c r="H5" i="93"/>
  <c r="H9" i="93" s="1"/>
  <c r="H10" i="93" s="1"/>
  <c r="J12" i="69"/>
  <c r="K4" i="142"/>
  <c r="K5" i="142"/>
  <c r="K10" i="142" s="1"/>
  <c r="J11" i="142"/>
  <c r="H16" i="124" l="1"/>
  <c r="D16" i="124"/>
  <c r="L4" i="142"/>
  <c r="L5" i="142"/>
  <c r="L10" i="142" s="1"/>
  <c r="K11" i="142"/>
  <c r="K12" i="69"/>
  <c r="I5" i="93"/>
  <c r="I9" i="93" s="1"/>
  <c r="I10" i="93" s="1"/>
  <c r="F16" i="124" l="1"/>
  <c r="H19" i="124"/>
  <c r="H22" i="124" s="1"/>
  <c r="H25" i="124" s="1"/>
  <c r="H27" i="124" s="1"/>
  <c r="H29" i="124" s="1"/>
  <c r="J5" i="93"/>
  <c r="J9" i="93" s="1"/>
  <c r="J10" i="93" s="1"/>
  <c r="L12" i="69"/>
  <c r="M4" i="142"/>
  <c r="M5" i="142"/>
  <c r="M10" i="142" s="1"/>
  <c r="L11" i="142"/>
  <c r="F19" i="124" l="1"/>
  <c r="N4" i="142"/>
  <c r="N5" i="142"/>
  <c r="N10" i="142" s="1"/>
  <c r="M11" i="142"/>
  <c r="M12" i="69"/>
  <c r="L5" i="93" s="1"/>
  <c r="L9" i="93" s="1"/>
  <c r="L10" i="93" s="1"/>
  <c r="K5" i="93"/>
  <c r="K9" i="93" s="1"/>
  <c r="K10" i="93" s="1"/>
  <c r="F3" i="140" l="1"/>
  <c r="I4" i="124"/>
  <c r="I8" i="124"/>
  <c r="F22" i="124"/>
  <c r="H3" i="140"/>
  <c r="E3" i="140"/>
  <c r="D19" i="143"/>
  <c r="I7" i="124"/>
  <c r="J3" i="140"/>
  <c r="I12" i="124"/>
  <c r="G3" i="140"/>
  <c r="I10" i="124"/>
  <c r="D3" i="140"/>
  <c r="K3" i="140"/>
  <c r="I5" i="124"/>
  <c r="I9" i="124"/>
  <c r="I13" i="124"/>
  <c r="C3" i="140"/>
  <c r="I6" i="124"/>
  <c r="I14" i="124"/>
  <c r="I18" i="124"/>
  <c r="I11" i="124"/>
  <c r="I3" i="124"/>
  <c r="I3" i="140"/>
  <c r="B3" i="140"/>
  <c r="I15" i="124"/>
  <c r="I17" i="124"/>
  <c r="I16" i="124"/>
  <c r="O10" i="142"/>
  <c r="N11" i="142"/>
  <c r="O11" i="142" s="1"/>
  <c r="I19" i="124" l="1"/>
  <c r="D25" i="143"/>
  <c r="F25" i="124"/>
  <c r="E5" i="140"/>
  <c r="F6" i="53"/>
  <c r="F9" i="53" s="1"/>
  <c r="F10" i="53" s="1"/>
  <c r="F16" i="53" s="1"/>
  <c r="D5" i="140"/>
  <c r="E6" i="53"/>
  <c r="E9" i="53" s="1"/>
  <c r="E10" i="53" s="1"/>
  <c r="E16" i="53" s="1"/>
  <c r="G5" i="140"/>
  <c r="H6" i="53"/>
  <c r="H9" i="53" s="1"/>
  <c r="H10" i="53" s="1"/>
  <c r="H16" i="53" s="1"/>
  <c r="I5" i="140"/>
  <c r="J6" i="53"/>
  <c r="J9" i="53" s="1"/>
  <c r="J10" i="53" s="1"/>
  <c r="J16" i="53" s="1"/>
  <c r="L6" i="53"/>
  <c r="L9" i="53" s="1"/>
  <c r="L10" i="53" s="1"/>
  <c r="L16" i="53" s="1"/>
  <c r="K5" i="140"/>
  <c r="C5" i="140"/>
  <c r="D6" i="53"/>
  <c r="D9" i="53" s="1"/>
  <c r="D10" i="53" s="1"/>
  <c r="D16" i="53" s="1"/>
  <c r="H5" i="140"/>
  <c r="I6" i="53"/>
  <c r="I9" i="53" s="1"/>
  <c r="I10" i="53" s="1"/>
  <c r="I16" i="53" s="1"/>
  <c r="C6" i="53"/>
  <c r="B5" i="140"/>
  <c r="J5" i="140"/>
  <c r="K6" i="53"/>
  <c r="K9" i="53" s="1"/>
  <c r="K10" i="53" s="1"/>
  <c r="K16" i="53" s="1"/>
  <c r="F5" i="140"/>
  <c r="G6" i="53"/>
  <c r="G9" i="53" s="1"/>
  <c r="G10" i="53" s="1"/>
  <c r="G16" i="53" s="1"/>
  <c r="C15" i="65"/>
  <c r="D15" i="65"/>
  <c r="F27" i="124" l="1"/>
  <c r="D26" i="143"/>
  <c r="C9" i="53"/>
  <c r="M6" i="53"/>
  <c r="M9" i="53" l="1"/>
  <c r="C10" i="53"/>
  <c r="F29" i="124"/>
  <c r="D28" i="143" s="1"/>
  <c r="D27" i="143"/>
  <c r="C16" i="53" l="1"/>
  <c r="M10" i="53"/>
  <c r="M16" i="53" l="1"/>
  <c r="B6" i="65"/>
  <c r="C17" i="53"/>
  <c r="C12" i="53" l="1"/>
  <c r="C13" i="53" s="1"/>
  <c r="D17" i="53"/>
  <c r="D12" i="53" l="1"/>
  <c r="D13" i="53" s="1"/>
  <c r="E17" i="53"/>
  <c r="C18" i="53"/>
  <c r="C21" i="53" s="1"/>
  <c r="C8" i="64"/>
  <c r="C13" i="64" s="1"/>
  <c r="F17" i="53" l="1"/>
  <c r="E12" i="53"/>
  <c r="E13" i="53" s="1"/>
  <c r="B10" i="98"/>
  <c r="C14" i="64"/>
  <c r="D8" i="64"/>
  <c r="D13" i="64" s="1"/>
  <c r="D18" i="53"/>
  <c r="D21" i="53" s="1"/>
  <c r="C10" i="98" l="1"/>
  <c r="D14" i="64"/>
  <c r="E13" i="65"/>
  <c r="E15" i="65" s="1"/>
  <c r="E8" i="64"/>
  <c r="E13" i="64" s="1"/>
  <c r="E18" i="53"/>
  <c r="E21" i="53" s="1"/>
  <c r="F12" i="53"/>
  <c r="F13" i="53" s="1"/>
  <c r="G17" i="53"/>
  <c r="D10" i="98" l="1"/>
  <c r="E14" i="64"/>
  <c r="G12" i="53"/>
  <c r="G13" i="53" s="1"/>
  <c r="H17" i="53"/>
  <c r="F18" i="53"/>
  <c r="F21" i="53" s="1"/>
  <c r="F8" i="64"/>
  <c r="F13" i="64" s="1"/>
  <c r="F13" i="65"/>
  <c r="F15" i="65" s="1"/>
  <c r="E10" i="98" l="1"/>
  <c r="F14" i="64"/>
  <c r="I17" i="53"/>
  <c r="H12" i="53"/>
  <c r="H13" i="53" s="1"/>
  <c r="G8" i="64"/>
  <c r="G13" i="64" s="1"/>
  <c r="G13" i="65"/>
  <c r="G15" i="65" s="1"/>
  <c r="G18" i="53"/>
  <c r="G21" i="53" s="1"/>
  <c r="F10" i="98" l="1"/>
  <c r="G14" i="64"/>
  <c r="J17" i="53"/>
  <c r="I12" i="53"/>
  <c r="I13" i="53" s="1"/>
  <c r="H8" i="64"/>
  <c r="H13" i="64" s="1"/>
  <c r="H13" i="65"/>
  <c r="H15" i="65" s="1"/>
  <c r="H18" i="53"/>
  <c r="J12" i="53" l="1"/>
  <c r="J13" i="53" s="1"/>
  <c r="K17" i="53"/>
  <c r="I8" i="64"/>
  <c r="I18" i="53"/>
  <c r="I13" i="65"/>
  <c r="I15" i="65" s="1"/>
  <c r="H21" i="53"/>
  <c r="I13" i="64" l="1"/>
  <c r="J8" i="64"/>
  <c r="J13" i="65"/>
  <c r="J15" i="65" s="1"/>
  <c r="J18" i="53"/>
  <c r="G10" i="98"/>
  <c r="H14" i="64"/>
  <c r="I21" i="53"/>
  <c r="K12" i="53"/>
  <c r="K13" i="53" s="1"/>
  <c r="L17" i="53"/>
  <c r="J13" i="64" l="1"/>
  <c r="K8" i="64"/>
  <c r="K13" i="64" s="1"/>
  <c r="K18" i="53"/>
  <c r="K13" i="65"/>
  <c r="K15" i="65" s="1"/>
  <c r="M17" i="53"/>
  <c r="L12" i="53"/>
  <c r="I14" i="64"/>
  <c r="J21" i="53"/>
  <c r="H10" i="98"/>
  <c r="L13" i="53" l="1"/>
  <c r="M12" i="53"/>
  <c r="M13" i="53" s="1"/>
  <c r="J14" i="64"/>
  <c r="K21" i="53"/>
  <c r="I10" i="98"/>
  <c r="J10" i="98" l="1"/>
  <c r="K14" i="64"/>
  <c r="L8" i="64"/>
  <c r="L18" i="53"/>
  <c r="M18" i="53" s="1"/>
  <c r="L13" i="65"/>
  <c r="B5" i="65" l="1"/>
  <c r="M13" i="65"/>
  <c r="L15" i="65"/>
  <c r="B4" i="65" s="1"/>
  <c r="L13" i="64"/>
  <c r="M8" i="64"/>
  <c r="B8" i="64"/>
  <c r="L21" i="53"/>
  <c r="L14" i="64" l="1"/>
  <c r="K10" i="98"/>
  <c r="N13" i="65"/>
  <c r="M15" i="65"/>
  <c r="O13" i="65" l="1"/>
  <c r="N15" i="65"/>
  <c r="P13" i="65" l="1"/>
  <c r="O15" i="65"/>
  <c r="D31" i="143"/>
  <c r="D29" i="143"/>
  <c r="P15" i="65" l="1"/>
  <c r="Q13" i="65"/>
  <c r="R13" i="65" l="1"/>
  <c r="Q15" i="65"/>
  <c r="R15" i="65" l="1"/>
  <c r="S13" i="65"/>
  <c r="S15" i="65" l="1"/>
  <c r="T13" i="65"/>
  <c r="U13" i="65" l="1"/>
  <c r="T15" i="65"/>
  <c r="V13" i="65" l="1"/>
  <c r="V15" i="65" s="1"/>
  <c r="U15" i="65"/>
  <c r="J15" i="13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</author>
  </authors>
  <commentList>
    <comment ref="G3" authorId="0" shapeId="0" xr:uid="{B25EC725-4DF8-4443-8D3C-FF92C0529BCF}">
      <text>
        <r>
          <rPr>
            <b/>
            <sz val="9"/>
            <color indexed="81"/>
            <rFont val="Tahoma"/>
            <family val="2"/>
            <charset val="204"/>
          </rPr>
          <t>Alex:</t>
        </r>
        <r>
          <rPr>
            <sz val="9"/>
            <color indexed="81"/>
            <rFont val="Tahoma"/>
            <family val="2"/>
            <charset val="204"/>
          </rPr>
          <t xml:space="preserve">
Согласно КП №6 и №5 от Ромакса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Груздев Александр</author>
  </authors>
  <commentList>
    <comment ref="C6" authorId="0" shapeId="0" xr:uid="{D7D5F274-DEF8-7342-96E3-E4C9604EC236}">
      <text>
        <r>
          <rPr>
            <b/>
            <sz val="10"/>
            <color rgb="FF000000"/>
            <rFont val="Tahoma"/>
            <family val="2"/>
            <charset val="204"/>
          </rPr>
          <t>Груздев Александр: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Ввозная таможенная пошлина в размере 0,05 евро за 1 кг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Груздев Александр</author>
  </authors>
  <commentList>
    <comment ref="H13" authorId="0" shapeId="0" xr:uid="{269FE1C6-6181-934A-B7C9-38418542ABC3}">
      <text>
        <r>
          <rPr>
            <b/>
            <sz val="10"/>
            <color rgb="FF000000"/>
            <rFont val="Tahoma"/>
            <family val="2"/>
            <charset val="204"/>
          </rPr>
          <t>Груздев Александр: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https://sib-tehno.ru/products/diatomit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Дизайнер2</author>
  </authors>
  <commentList>
    <comment ref="A8" authorId="0" shapeId="0" xr:uid="{00000000-0006-0000-0B00-000001000000}">
      <text>
        <r>
          <rPr>
            <sz val="9"/>
            <color rgb="FF000000"/>
            <rFont val="Tahoma"/>
            <family val="2"/>
            <charset val="204"/>
          </rPr>
          <t>Cashflow Available for Debt Service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Груздев Александр</author>
  </authors>
  <commentList>
    <comment ref="B3" authorId="0" shapeId="0" xr:uid="{99D56396-ACDA-AF43-A86F-0830CAA89B8A}">
      <text>
        <r>
          <rPr>
            <b/>
            <sz val="10"/>
            <color rgb="FF000000"/>
            <rFont val="Tahoma"/>
            <family val="2"/>
            <charset val="204"/>
          </rPr>
          <t>Груздев Александр: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Требуемая площадь ЗУ составляет 8-10 га согласно КП от Завкома</t>
        </r>
      </text>
    </comment>
    <comment ref="C3" authorId="0" shapeId="0" xr:uid="{D9E7D478-0D85-F541-AD9B-928D4A85EB02}">
      <text>
        <r>
          <rPr>
            <b/>
            <sz val="10"/>
            <color rgb="FF000000"/>
            <rFont val="Tahoma"/>
            <family val="2"/>
            <charset val="204"/>
          </rPr>
          <t>Груздев Александр: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Данные из Росреестра о кадастровой стоимосоти ЗУ  кад. №</t>
        </r>
        <r>
          <rPr>
            <sz val="10"/>
            <color rgb="FF000000"/>
            <rFont val="Calibri"/>
            <family val="2"/>
            <scheme val="minor"/>
          </rPr>
          <t xml:space="preserve">73:11:022401:769 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 xml:space="preserve">Площадь - </t>
        </r>
        <r>
          <rPr>
            <sz val="10"/>
            <color rgb="FF000000"/>
            <rFont val="Calibri"/>
            <family val="2"/>
            <scheme val="minor"/>
          </rPr>
          <t xml:space="preserve">3 006 170 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 xml:space="preserve">кв.м, кадастровая стоимость - </t>
        </r>
        <r>
          <rPr>
            <sz val="10"/>
            <color rgb="FF000000"/>
            <rFont val="Calibri"/>
            <family val="2"/>
            <scheme val="minor"/>
          </rPr>
          <t xml:space="preserve">407 516 405,2 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руб.</t>
        </r>
      </text>
    </comment>
  </commentList>
</comments>
</file>

<file path=xl/sharedStrings.xml><?xml version="1.0" encoding="utf-8"?>
<sst xmlns="http://schemas.openxmlformats.org/spreadsheetml/2006/main" count="2762" uniqueCount="1251">
  <si>
    <t>Показатели</t>
  </si>
  <si>
    <t>Ед. изм.</t>
  </si>
  <si>
    <t>тыс. руб.</t>
  </si>
  <si>
    <t>Итого:</t>
  </si>
  <si>
    <t>Ставка</t>
  </si>
  <si>
    <t>Расходы</t>
  </si>
  <si>
    <t>ФОТ</t>
  </si>
  <si>
    <t>Налог на прибыль</t>
  </si>
  <si>
    <t>Земельный налог</t>
  </si>
  <si>
    <t>База, руб.</t>
  </si>
  <si>
    <t>Погашение</t>
  </si>
  <si>
    <t>DSCR</t>
  </si>
  <si>
    <t>ИТОГО</t>
  </si>
  <si>
    <t>CFADS (поток от операционки)</t>
  </si>
  <si>
    <t>Выборка</t>
  </si>
  <si>
    <t>Долг</t>
  </si>
  <si>
    <t>%%</t>
  </si>
  <si>
    <t>Валовая прибыль</t>
  </si>
  <si>
    <t>№ п/п</t>
  </si>
  <si>
    <t>Итого доходы:</t>
  </si>
  <si>
    <t>Страхование</t>
  </si>
  <si>
    <t>Площадь, кв.м.</t>
  </si>
  <si>
    <t>Цена 1 кв.м., руб.</t>
  </si>
  <si>
    <t>Срок жизни ремонта/МБП, лет</t>
  </si>
  <si>
    <t>Сумма затрат за срок жизни</t>
  </si>
  <si>
    <t>Безрисковая ставка доходности</t>
  </si>
  <si>
    <t>Фактор фонда возмещения</t>
  </si>
  <si>
    <t>Итого расходы</t>
  </si>
  <si>
    <t>%</t>
  </si>
  <si>
    <t>NPV</t>
  </si>
  <si>
    <t>IRR</t>
  </si>
  <si>
    <t>Показатель</t>
  </si>
  <si>
    <t>Значение</t>
  </si>
  <si>
    <t>Ставка дисконтирования, в год</t>
  </si>
  <si>
    <t>Ставка дисконтирования, в квартал</t>
  </si>
  <si>
    <t>Поток (NCF)</t>
  </si>
  <si>
    <t>Итого</t>
  </si>
  <si>
    <t>руб.</t>
  </si>
  <si>
    <t>Амортизация</t>
  </si>
  <si>
    <t>Прибыль до н.о.</t>
  </si>
  <si>
    <t>Статьи затрат</t>
  </si>
  <si>
    <t>НДФЛ</t>
  </si>
  <si>
    <t>Примечание</t>
  </si>
  <si>
    <t>Пиловочник</t>
  </si>
  <si>
    <t>Оборудование</t>
  </si>
  <si>
    <t>Расход</t>
  </si>
  <si>
    <t>Сумма, тыс. руб.</t>
  </si>
  <si>
    <t>Эл/эн</t>
  </si>
  <si>
    <t>Ремонт оборудования и ТС</t>
  </si>
  <si>
    <t>ГСМ</t>
  </si>
  <si>
    <t>Прочие</t>
  </si>
  <si>
    <t>Коммерческие</t>
  </si>
  <si>
    <t>Транспорт</t>
  </si>
  <si>
    <t>Упаковка</t>
  </si>
  <si>
    <t>Таможенные сборы</t>
  </si>
  <si>
    <t>Командировки</t>
  </si>
  <si>
    <t>Информационные услуги</t>
  </si>
  <si>
    <t>Кол-во</t>
  </si>
  <si>
    <t>Цех</t>
  </si>
  <si>
    <t>шт.</t>
  </si>
  <si>
    <t>кВт/ч</t>
  </si>
  <si>
    <t>Котельная</t>
  </si>
  <si>
    <t>№</t>
  </si>
  <si>
    <t>Наименование</t>
  </si>
  <si>
    <t>Должность</t>
  </si>
  <si>
    <t>Главный бухгалтер</t>
  </si>
  <si>
    <t>Начальник производства</t>
  </si>
  <si>
    <t>Оператор</t>
  </si>
  <si>
    <t>Начальник</t>
  </si>
  <si>
    <t>Курс USD</t>
  </si>
  <si>
    <t>Рост цен</t>
  </si>
  <si>
    <t>Рост цен, % в год</t>
  </si>
  <si>
    <t>Количество часов в рабочей смене</t>
  </si>
  <si>
    <t>Количество рабочих дней в году</t>
  </si>
  <si>
    <t>Рост курса</t>
  </si>
  <si>
    <t>Курс Евро</t>
  </si>
  <si>
    <t>Рост, %</t>
  </si>
  <si>
    <t>Сырье</t>
  </si>
  <si>
    <t>Валюта</t>
  </si>
  <si>
    <t>тн.</t>
  </si>
  <si>
    <t>Налоговое окружение</t>
  </si>
  <si>
    <t>Налог</t>
  </si>
  <si>
    <t>Внебюджетные фонды</t>
  </si>
  <si>
    <t>Налог на недвижимое имущество</t>
  </si>
  <si>
    <t>НДС на сырье и материалы и продукцию на внут. рынок</t>
  </si>
  <si>
    <t>Таможенная пошлина на ввозимое оборудование</t>
  </si>
  <si>
    <t>Монтаж и пуско-наладка оборудования</t>
  </si>
  <si>
    <t>Ед. изм</t>
  </si>
  <si>
    <t>Цена за ед. изм. в валюте</t>
  </si>
  <si>
    <t>Электроэнергия</t>
  </si>
  <si>
    <t>Газ</t>
  </si>
  <si>
    <t>Водоснабжение</t>
  </si>
  <si>
    <t>Водоотведение</t>
  </si>
  <si>
    <t>Цены на сырье и материалы, без НДС</t>
  </si>
  <si>
    <t>Цена за ед. изм., в руб.</t>
  </si>
  <si>
    <t>Переменные затраты</t>
  </si>
  <si>
    <t>Постоянные затраты</t>
  </si>
  <si>
    <t>Сумма</t>
  </si>
  <si>
    <t>курс евро</t>
  </si>
  <si>
    <t>РФ/ экспорт</t>
  </si>
  <si>
    <t xml:space="preserve">РФ </t>
  </si>
  <si>
    <t>Количество рабочих дней в месяц</t>
  </si>
  <si>
    <t>Охрана</t>
  </si>
  <si>
    <t>Услуги по регистрации персонала</t>
  </si>
  <si>
    <t>Реклама</t>
  </si>
  <si>
    <t>Питание персонала</t>
  </si>
  <si>
    <t>Основное производство</t>
  </si>
  <si>
    <t>Остаток на складе</t>
  </si>
  <si>
    <t>Продукция</t>
  </si>
  <si>
    <t>Цены</t>
  </si>
  <si>
    <t>Выручка</t>
  </si>
  <si>
    <t>Статья затрат</t>
  </si>
  <si>
    <t>Переменные</t>
  </si>
  <si>
    <t>Постоянные</t>
  </si>
  <si>
    <t>Административные</t>
  </si>
  <si>
    <t>1.1</t>
  </si>
  <si>
    <t>1.2</t>
  </si>
  <si>
    <t>Недвижимость</t>
  </si>
  <si>
    <t>Первоначальная стоимость</t>
  </si>
  <si>
    <t>Ам-ция</t>
  </si>
  <si>
    <t>Остаточная стоимость</t>
  </si>
  <si>
    <t>Суммарная ам-ция</t>
  </si>
  <si>
    <t>ФОТ с начислениями</t>
  </si>
  <si>
    <t>Объекты недвижимости</t>
  </si>
  <si>
    <t>Резерв на замещение, тыс. руб в год</t>
  </si>
  <si>
    <t>Накопленный убыток</t>
  </si>
  <si>
    <t>СМР</t>
  </si>
  <si>
    <t>НДС к возмещению</t>
  </si>
  <si>
    <t>НДС к уплате</t>
  </si>
  <si>
    <t>НДС с капитальных затрат</t>
  </si>
  <si>
    <t>Возмещение/выплата НДС (+/-)</t>
  </si>
  <si>
    <t>НДС в Cash Flow</t>
  </si>
  <si>
    <t>Рыночная стоимость имущества</t>
  </si>
  <si>
    <t>Вид затрат</t>
  </si>
  <si>
    <t>Покупка оборудования</t>
  </si>
  <si>
    <t>НДС по оборудованию</t>
  </si>
  <si>
    <t>Доставка</t>
  </si>
  <si>
    <t>Монтаж</t>
  </si>
  <si>
    <t>Всего:</t>
  </si>
  <si>
    <t>Пополнение оборотных средств</t>
  </si>
  <si>
    <t>1.3</t>
  </si>
  <si>
    <t>Доска, сырая</t>
  </si>
  <si>
    <t>Остаток на р/сч</t>
  </si>
  <si>
    <t>Денежный поток от инвестиционной деятельности</t>
  </si>
  <si>
    <t>Денежный поток от финансовой деятельности</t>
  </si>
  <si>
    <t>Мин. остаток на р/сч</t>
  </si>
  <si>
    <t>Денежный поток от операционной деятельности</t>
  </si>
  <si>
    <t>Таб. №</t>
  </si>
  <si>
    <t>Собственные средства</t>
  </si>
  <si>
    <t>Кредит</t>
  </si>
  <si>
    <t>млн. руб.</t>
  </si>
  <si>
    <t>Доля, %</t>
  </si>
  <si>
    <t>Здания</t>
  </si>
  <si>
    <t>Оборотный капитал</t>
  </si>
  <si>
    <t xml:space="preserve">Здание  </t>
  </si>
  <si>
    <t>Подготовка территории строительства</t>
  </si>
  <si>
    <t>Итого подготовка территории строительства</t>
  </si>
  <si>
    <t>2.1</t>
  </si>
  <si>
    <t>2.2</t>
  </si>
  <si>
    <t>2.3</t>
  </si>
  <si>
    <t>2.4</t>
  </si>
  <si>
    <t>2</t>
  </si>
  <si>
    <t>Итого основные объекты</t>
  </si>
  <si>
    <t>3.1</t>
  </si>
  <si>
    <t>3.2</t>
  </si>
  <si>
    <t>3</t>
  </si>
  <si>
    <t>Итого объекты подсобного и обслуживающего значения</t>
  </si>
  <si>
    <t>4.1</t>
  </si>
  <si>
    <t>4.2</t>
  </si>
  <si>
    <t>Кабельные сети 0,4кВ</t>
  </si>
  <si>
    <t>4</t>
  </si>
  <si>
    <t>Итого объекты энергетического хозяйства</t>
  </si>
  <si>
    <t>5.1</t>
  </si>
  <si>
    <t>5.2</t>
  </si>
  <si>
    <t>5</t>
  </si>
  <si>
    <t>Итого объекты транспортного хозяйства и связи</t>
  </si>
  <si>
    <t>6.1</t>
  </si>
  <si>
    <t>6.2</t>
  </si>
  <si>
    <t>Внутриплощадочный газопровод</t>
  </si>
  <si>
    <t>6.3</t>
  </si>
  <si>
    <t>6.4</t>
  </si>
  <si>
    <t>Пожарно-хозяйственный водопровод</t>
  </si>
  <si>
    <t>6</t>
  </si>
  <si>
    <t>Итого наружные сети и сооружения водоснабжения, канализации, теплоснабжения и газоснабжения</t>
  </si>
  <si>
    <t>7.1</t>
  </si>
  <si>
    <t>7.2</t>
  </si>
  <si>
    <t>7</t>
  </si>
  <si>
    <t>Итого благоустройство и озеленение территории</t>
  </si>
  <si>
    <t>8</t>
  </si>
  <si>
    <t>Временные здания и сооружения (3% от СМР пп. 1-7)</t>
  </si>
  <si>
    <t>9</t>
  </si>
  <si>
    <t>10</t>
  </si>
  <si>
    <t>11</t>
  </si>
  <si>
    <t>Подготовка эксплуатационных кадров</t>
  </si>
  <si>
    <t>12.1</t>
  </si>
  <si>
    <t>Изыскания</t>
  </si>
  <si>
    <t>12.2</t>
  </si>
  <si>
    <t>Авторский надзор (3% от СМР пп. 1-7)</t>
  </si>
  <si>
    <t>12</t>
  </si>
  <si>
    <t>Проектные и изыскательские работы, авторский надзор</t>
  </si>
  <si>
    <t>ВСЕГО, тыс. руб., без НДС</t>
  </si>
  <si>
    <t>рублей</t>
  </si>
  <si>
    <t>Описание участка</t>
  </si>
  <si>
    <t>Запчасти</t>
  </si>
  <si>
    <t>Шеф-монтаж</t>
  </si>
  <si>
    <t>Пуко-наладка</t>
  </si>
  <si>
    <t>Там. оформление</t>
  </si>
  <si>
    <t>Там. Пошлина</t>
  </si>
  <si>
    <t>Поставщик</t>
  </si>
  <si>
    <t>Прочее оборудование</t>
  </si>
  <si>
    <r>
      <t xml:space="preserve">курс </t>
    </r>
    <r>
      <rPr>
        <sz val="11"/>
        <color theme="1"/>
        <rFont val="Calibri"/>
        <family val="2"/>
        <charset val="204"/>
      </rPr>
      <t>€</t>
    </r>
  </si>
  <si>
    <t>Монтаж оборудования</t>
  </si>
  <si>
    <t>Пуско-наладка</t>
  </si>
  <si>
    <t>Наименование участка</t>
  </si>
  <si>
    <t>Цена, тыс. руб. с НДС</t>
  </si>
  <si>
    <t>Цена, тыс. руб. без НДС</t>
  </si>
  <si>
    <t>Компрессоры</t>
  </si>
  <si>
    <t>АБК</t>
  </si>
  <si>
    <t>ч.</t>
  </si>
  <si>
    <r>
      <t>Цена,             тыс. руб./м</t>
    </r>
    <r>
      <rPr>
        <b/>
        <vertAlign val="superscript"/>
        <sz val="11"/>
        <color theme="1"/>
        <rFont val="Calibri"/>
        <family val="2"/>
        <charset val="204"/>
        <scheme val="minor"/>
      </rPr>
      <t>2</t>
    </r>
  </si>
  <si>
    <t>СМР,       тыс. руб.</t>
  </si>
  <si>
    <t>Итого затраты, тыс. руб.</t>
  </si>
  <si>
    <t>Доп. Оборуд, тыс. руб.</t>
  </si>
  <si>
    <t>Стоимость затрат на строительство зданий и сооружений</t>
  </si>
  <si>
    <t>Благоустройство территории (газоны)</t>
  </si>
  <si>
    <t>дн.</t>
  </si>
  <si>
    <t>мВт</t>
  </si>
  <si>
    <t>шт</t>
  </si>
  <si>
    <t>Поставка оборудования</t>
  </si>
  <si>
    <t>мес.</t>
  </si>
  <si>
    <t>ЦБ РФ</t>
  </si>
  <si>
    <t>Содержание дирекции (технического надзора) строящегося предприятия</t>
  </si>
  <si>
    <t>1. Коэффициенты перевода явочной в списочную численность</t>
  </si>
  <si>
    <t>2. Тарифные ставки оплаты труда</t>
  </si>
  <si>
    <t>Подразделение</t>
  </si>
  <si>
    <t>Здание, корпус</t>
  </si>
  <si>
    <t>Смены</t>
  </si>
  <si>
    <t>Явочная численность</t>
  </si>
  <si>
    <t>Коэфф.</t>
  </si>
  <si>
    <t>Списочная численность</t>
  </si>
  <si>
    <t>Грейд</t>
  </si>
  <si>
    <t>Оклад</t>
  </si>
  <si>
    <t>Коэф.</t>
  </si>
  <si>
    <t>Тарифная  ставка, руб.</t>
  </si>
  <si>
    <r>
      <t>К</t>
    </r>
    <r>
      <rPr>
        <vertAlign val="subscript"/>
        <sz val="10"/>
        <color theme="1"/>
        <rFont val="Arial"/>
        <family val="2"/>
        <charset val="204"/>
      </rPr>
      <t>АБК</t>
    </r>
  </si>
  <si>
    <t>Работает 8 часов 5 дн. в неделю</t>
  </si>
  <si>
    <t>Руководитель высшего звена</t>
  </si>
  <si>
    <t>Администрация</t>
  </si>
  <si>
    <r>
      <t>К</t>
    </r>
    <r>
      <rPr>
        <vertAlign val="subscript"/>
        <sz val="10"/>
        <color theme="1"/>
        <rFont val="Arial"/>
        <family val="2"/>
        <charset val="204"/>
      </rPr>
      <t>П</t>
    </r>
  </si>
  <si>
    <t>Работают в две смены плюс одна смена в выходные плюс отпуск 1 мес. и больничный 0,5 мес.</t>
  </si>
  <si>
    <t>Руководитель среднего звена</t>
  </si>
  <si>
    <t>Руководитель</t>
  </si>
  <si>
    <t>Бухгалтерия</t>
  </si>
  <si>
    <t>Начальник цеха</t>
  </si>
  <si>
    <t>Бухгалтер</t>
  </si>
  <si>
    <t>Начальник смены</t>
  </si>
  <si>
    <t>Отдел кадров</t>
  </si>
  <si>
    <t>Начальник кадрового отдела</t>
  </si>
  <si>
    <t>Специалист 1 кат.</t>
  </si>
  <si>
    <t>Отдел продаж</t>
  </si>
  <si>
    <t>Специалист 2 кат.</t>
  </si>
  <si>
    <t>Специалист 3 кат.</t>
  </si>
  <si>
    <t>Офисный сотрудник</t>
  </si>
  <si>
    <t xml:space="preserve">Отдел IT </t>
  </si>
  <si>
    <t>Начальник отдела IT</t>
  </si>
  <si>
    <t>Рабочий, грузчик</t>
  </si>
  <si>
    <t>Отдел технического контроля</t>
  </si>
  <si>
    <t>Начальник отдела технического контроля</t>
  </si>
  <si>
    <t>Главный инженер</t>
  </si>
  <si>
    <t>Заместитель главного инженера</t>
  </si>
  <si>
    <t>Общий отдел</t>
  </si>
  <si>
    <t>Уборщик бытовых помещений</t>
  </si>
  <si>
    <t>Курьер</t>
  </si>
  <si>
    <t>Ремонт и обслуживание</t>
  </si>
  <si>
    <t>Инженерный корпус</t>
  </si>
  <si>
    <t>Уборщик территории</t>
  </si>
  <si>
    <t>Лейки</t>
  </si>
  <si>
    <t>в т.ч. оплачено</t>
  </si>
  <si>
    <t>Капитал (бюджет) проекта, с НДС*</t>
  </si>
  <si>
    <t>* - ранее осуществленные инвестиции без учета НДС</t>
  </si>
  <si>
    <t>Дата</t>
  </si>
  <si>
    <t>тн</t>
  </si>
  <si>
    <t>Производство</t>
  </si>
  <si>
    <t>Реализация</t>
  </si>
  <si>
    <t>Год</t>
  </si>
  <si>
    <t>НДС к выручке</t>
  </si>
  <si>
    <t>Ограждение территории, м.п.</t>
  </si>
  <si>
    <t>-</t>
  </si>
  <si>
    <t>НДС к зачету</t>
  </si>
  <si>
    <t>Таб.№</t>
  </si>
  <si>
    <t>Процент выхода от предыдущего</t>
  </si>
  <si>
    <t>Мощность</t>
  </si>
  <si>
    <t>Выход продуктов</t>
  </si>
  <si>
    <t>Расчет земельного налога</t>
  </si>
  <si>
    <t>Суммарная кадастровая стоимость ЗУ, тыс. руб.</t>
  </si>
  <si>
    <t>Кадастровая стоимость 1 кв.м. ЗУ, руб</t>
  </si>
  <si>
    <t>Земельный участок</t>
  </si>
  <si>
    <t>ЗУ под Проект</t>
  </si>
  <si>
    <t>Ставка земельного налога, % от КС</t>
  </si>
  <si>
    <t>Сумма земельного налога, тыс. руб.</t>
  </si>
  <si>
    <t>ИТР</t>
  </si>
  <si>
    <t>Сменный технолог</t>
  </si>
  <si>
    <t>Инженер АСУТП</t>
  </si>
  <si>
    <t>Заведующий лабораторией</t>
  </si>
  <si>
    <t>Инжененр-химик</t>
  </si>
  <si>
    <t>Химик по сырью</t>
  </si>
  <si>
    <t>Химик по готовой продукции</t>
  </si>
  <si>
    <t>Слесарь-наладчик сменный</t>
  </si>
  <si>
    <t>Электрик сменный</t>
  </si>
  <si>
    <t>Старший службы охраны</t>
  </si>
  <si>
    <t>Сменный охранник</t>
  </si>
  <si>
    <t>Сменный охранник территории</t>
  </si>
  <si>
    <t>Охрана на видеонаблюдении</t>
  </si>
  <si>
    <t>Начальник столовой</t>
  </si>
  <si>
    <t>Повара</t>
  </si>
  <si>
    <t>Водитель трактора с навесным оборудованием</t>
  </si>
  <si>
    <t>Уборщик производственных и скадских помещений</t>
  </si>
  <si>
    <t>Сестра-хозяйка (стирка спецодежды)</t>
  </si>
  <si>
    <t>Отдел закупок</t>
  </si>
  <si>
    <t>Руководитель отдела планирования и закупок</t>
  </si>
  <si>
    <t>Планировщик-закупщик</t>
  </si>
  <si>
    <t>Служба хозяйственного обеспечения</t>
  </si>
  <si>
    <t>КПП</t>
  </si>
  <si>
    <t>Столовая</t>
  </si>
  <si>
    <t>Сварщик</t>
  </si>
  <si>
    <t>Токарь-фрезеровщик</t>
  </si>
  <si>
    <t>Слесарь КИП</t>
  </si>
  <si>
    <t>Секретарь</t>
  </si>
  <si>
    <t>Финансовый директор</t>
  </si>
  <si>
    <t>Инженер по охране труда, ТБ, экологии</t>
  </si>
  <si>
    <t>Юридический отдел</t>
  </si>
  <si>
    <t>Юрист</t>
  </si>
  <si>
    <t>Специалист по продажам/ВЭД</t>
  </si>
  <si>
    <t>Сменный мастер</t>
  </si>
  <si>
    <t>Машинист зерновых и погрузочно-разгрузочных работ</t>
  </si>
  <si>
    <t>Оператор весовой</t>
  </si>
  <si>
    <t>Лаборант</t>
  </si>
  <si>
    <t>Визировочная лаборатория</t>
  </si>
  <si>
    <t>Весовая</t>
  </si>
  <si>
    <t>Склад химикатов</t>
  </si>
  <si>
    <t>Водоподготовка и локальный водооборот</t>
  </si>
  <si>
    <t>Здание водоподготовки</t>
  </si>
  <si>
    <t>Категория сотрудников</t>
  </si>
  <si>
    <t>Административный</t>
  </si>
  <si>
    <t>Производственный</t>
  </si>
  <si>
    <t>Вспомогательный</t>
  </si>
  <si>
    <t>Коммерческий</t>
  </si>
  <si>
    <t>Линейная амортизация для расчета налога на прибыль</t>
  </si>
  <si>
    <t>Транспорт РФ</t>
  </si>
  <si>
    <t>Транспорт Китай</t>
  </si>
  <si>
    <t>курс $</t>
  </si>
  <si>
    <t>Водоподготовка</t>
  </si>
  <si>
    <t>Градирни</t>
  </si>
  <si>
    <t>РФ</t>
  </si>
  <si>
    <t>Atlas Copco</t>
  </si>
  <si>
    <t>Дробильно-подработочное отделение</t>
  </si>
  <si>
    <t>АБК со столовой и кухней</t>
  </si>
  <si>
    <t>Эстакады технологические с трубопроводами</t>
  </si>
  <si>
    <t>Цех водоподготовки</t>
  </si>
  <si>
    <t>3.3</t>
  </si>
  <si>
    <t>3.4</t>
  </si>
  <si>
    <t>3.5</t>
  </si>
  <si>
    <t>3.6</t>
  </si>
  <si>
    <t>3.7</t>
  </si>
  <si>
    <t>Канализация хоз-бытовая, ливневая и промстоков</t>
  </si>
  <si>
    <t>Проект стадии "П" и "РД"</t>
  </si>
  <si>
    <t>Инженерно-геологические изыскания</t>
  </si>
  <si>
    <t>Инженерно-геодезический изыскания</t>
  </si>
  <si>
    <t>Экологические изыскания</t>
  </si>
  <si>
    <t>Анализ рынков сырья</t>
  </si>
  <si>
    <t>Технический и технологический аудит проектной документации</t>
  </si>
  <si>
    <t>Госэкспертиза</t>
  </si>
  <si>
    <t>Данные Исполнителя</t>
  </si>
  <si>
    <t>Предварительные данные</t>
  </si>
  <si>
    <t>Разработка проекта СЗЗ</t>
  </si>
  <si>
    <t>код ТН ВЭД 8419 40 000</t>
  </si>
  <si>
    <t>Источник информации</t>
  </si>
  <si>
    <t>Регион</t>
  </si>
  <si>
    <r>
      <t>Цена, руб. за тыс.м</t>
    </r>
    <r>
      <rPr>
        <b/>
        <vertAlign val="superscript"/>
        <sz val="11"/>
        <color theme="1"/>
        <rFont val="Calibri"/>
        <family val="2"/>
        <charset val="204"/>
        <scheme val="minor"/>
      </rPr>
      <t>3</t>
    </r>
  </si>
  <si>
    <t>Сбыт</t>
  </si>
  <si>
    <t>Спецнадбавка</t>
  </si>
  <si>
    <r>
      <t>Цена, руб. за тыс. м</t>
    </r>
    <r>
      <rPr>
        <b/>
        <vertAlign val="superscript"/>
        <sz val="11"/>
        <color theme="1"/>
        <rFont val="Calibri"/>
        <family val="2"/>
        <charset val="204"/>
        <scheme val="minor"/>
      </rPr>
      <t>3</t>
    </r>
  </si>
  <si>
    <t>Источник</t>
  </si>
  <si>
    <t>НК РФ</t>
  </si>
  <si>
    <t>Альфа-амилазный ферментный препарат</t>
  </si>
  <si>
    <t>Глюко-амилазный ферментный препарат</t>
  </si>
  <si>
    <t>Кислота серная  техническая, 92%</t>
  </si>
  <si>
    <t>Карбамид</t>
  </si>
  <si>
    <t>Пеногаситель</t>
  </si>
  <si>
    <t>т/ч</t>
  </si>
  <si>
    <r>
      <t>м</t>
    </r>
    <r>
      <rPr>
        <vertAlign val="superscript"/>
        <sz val="12"/>
        <color theme="1"/>
        <rFont val="Calibri"/>
        <family val="2"/>
        <charset val="204"/>
        <scheme val="minor"/>
      </rPr>
      <t>3</t>
    </r>
  </si>
  <si>
    <t>EUR</t>
  </si>
  <si>
    <t>RUR</t>
  </si>
  <si>
    <t>Цена за ед. изм. в валюте, без НДС</t>
  </si>
  <si>
    <t>Цена за ед., руб. без НДС</t>
  </si>
  <si>
    <t>База Исполнителя</t>
  </si>
  <si>
    <t>курс доллара США</t>
  </si>
  <si>
    <t>Расход на 1 тн.</t>
  </si>
  <si>
    <t>Затраты, руб/тн</t>
  </si>
  <si>
    <t>Расход в год, тыс. руб.</t>
  </si>
  <si>
    <t>Тариф</t>
  </si>
  <si>
    <t xml:space="preserve">Покупка эл/эн, </t>
  </si>
  <si>
    <t xml:space="preserve">Передача </t>
  </si>
  <si>
    <t>Плата за мощность</t>
  </si>
  <si>
    <t>Сбытовая надбавка</t>
  </si>
  <si>
    <t>Мощность, макс</t>
  </si>
  <si>
    <t>Потребление, факт</t>
  </si>
  <si>
    <t xml:space="preserve">Потребление </t>
  </si>
  <si>
    <t xml:space="preserve">Сумма затрат, </t>
  </si>
  <si>
    <t>руб./мВт./ч</t>
  </si>
  <si>
    <t>руб./мВт. в мес.</t>
  </si>
  <si>
    <t>руб./мВт.</t>
  </si>
  <si>
    <t xml:space="preserve"> в стоимости эл/эн, руб/МВтч</t>
  </si>
  <si>
    <t>м.Вт./ч в мес.</t>
  </si>
  <si>
    <t>руб/мес.</t>
  </si>
  <si>
    <t>руб. мВт/ч, без НДС</t>
  </si>
  <si>
    <t>4 Ц.К._ВН</t>
  </si>
  <si>
    <t>ВН</t>
  </si>
  <si>
    <t>Уровень напряжения</t>
  </si>
  <si>
    <t>Расчет потребления электроэнергии для технологических нужд Проекта</t>
  </si>
  <si>
    <t xml:space="preserve">Потребляемая эл/мощность, кВт ч </t>
  </si>
  <si>
    <t>Источник электроснабжения</t>
  </si>
  <si>
    <t>Внешняя сеть</t>
  </si>
  <si>
    <t>База Консультанта</t>
  </si>
  <si>
    <t>Градирня с насосной</t>
  </si>
  <si>
    <t>Компрессорная</t>
  </si>
  <si>
    <t>Инженерные системы</t>
  </si>
  <si>
    <t>Склады готовой продукции</t>
  </si>
  <si>
    <t>Прочие потребности</t>
  </si>
  <si>
    <t>5% от общего потребления эл/эн</t>
  </si>
  <si>
    <t>ИТОГО от энергоцентра</t>
  </si>
  <si>
    <t>Обоурудование</t>
  </si>
  <si>
    <t>Производитель</t>
  </si>
  <si>
    <t>Кол-во всего</t>
  </si>
  <si>
    <t>Кол-во в работе</t>
  </si>
  <si>
    <t>Цена, евро/шт., без НДС</t>
  </si>
  <si>
    <t>Цена, всего, евро без НДС</t>
  </si>
  <si>
    <t>Компрессор 8,5 Бар</t>
  </si>
  <si>
    <t>660-1680</t>
  </si>
  <si>
    <t>Наименование потребителя</t>
  </si>
  <si>
    <r>
      <t>Мах потребление газа, нм</t>
    </r>
    <r>
      <rPr>
        <b/>
        <vertAlign val="superscript"/>
        <sz val="11"/>
        <color theme="1"/>
        <rFont val="Calibri (Основной текст)"/>
        <charset val="204"/>
      </rPr>
      <t>3</t>
    </r>
    <r>
      <rPr>
        <b/>
        <sz val="11"/>
        <color theme="1"/>
        <rFont val="Calibri"/>
        <family val="2"/>
        <charset val="204"/>
        <scheme val="minor"/>
      </rPr>
      <t xml:space="preserve">/ч </t>
    </r>
  </si>
  <si>
    <r>
      <t>Среднее потребление газа, нм</t>
    </r>
    <r>
      <rPr>
        <b/>
        <vertAlign val="superscript"/>
        <sz val="11"/>
        <color theme="1"/>
        <rFont val="Calibri (Основной текст)"/>
        <charset val="204"/>
      </rPr>
      <t>3</t>
    </r>
    <r>
      <rPr>
        <b/>
        <sz val="11"/>
        <color theme="1"/>
        <rFont val="Calibri"/>
        <family val="2"/>
        <charset val="204"/>
        <scheme val="minor"/>
      </rPr>
      <t>/ч</t>
    </r>
  </si>
  <si>
    <r>
      <t>Потребление газа, нм</t>
    </r>
    <r>
      <rPr>
        <b/>
        <vertAlign val="superscript"/>
        <sz val="11"/>
        <color theme="1"/>
        <rFont val="Calibri (Основной текст)"/>
        <charset val="204"/>
      </rPr>
      <t>3</t>
    </r>
    <r>
      <rPr>
        <b/>
        <sz val="11"/>
        <color theme="1"/>
        <rFont val="Calibri"/>
        <family val="2"/>
        <charset val="204"/>
        <scheme val="minor"/>
      </rPr>
      <t xml:space="preserve">/год </t>
    </r>
  </si>
  <si>
    <t>Примечания</t>
  </si>
  <si>
    <t>Потребление газа для сушки зерна</t>
  </si>
  <si>
    <t>теплота сгорания газа по ТУ Пензенской областия, ккал/м3</t>
  </si>
  <si>
    <t>коэфициент перевода в кг условного топлива</t>
  </si>
  <si>
    <t>Потребитель</t>
  </si>
  <si>
    <t xml:space="preserve">Макс. расход газа на 1 этапе, нм3/ч </t>
  </si>
  <si>
    <t xml:space="preserve">Расход газа, нм3/год </t>
  </si>
  <si>
    <t xml:space="preserve">Расход газа из КП, нм3/ч </t>
  </si>
  <si>
    <t>Пр-ть зерносушилок, тн/ч</t>
  </si>
  <si>
    <t>Кол-во сушилок</t>
  </si>
  <si>
    <r>
      <t>Расход газа на 1 тн/%, м</t>
    </r>
    <r>
      <rPr>
        <b/>
        <vertAlign val="superscript"/>
        <sz val="11"/>
        <color theme="1"/>
        <rFont val="Calibri"/>
        <family val="2"/>
        <charset val="204"/>
        <scheme val="minor"/>
      </rPr>
      <t>3</t>
    </r>
  </si>
  <si>
    <t>Кол-во % влажности</t>
  </si>
  <si>
    <t>Снижение сорности зерна, %</t>
  </si>
  <si>
    <t xml:space="preserve">Расход газа в период уборки, нм3/ч </t>
  </si>
  <si>
    <t xml:space="preserve">Расход газа после сбора урожая (323 дня), нм3/ч </t>
  </si>
  <si>
    <t>Коэффициент учитывающий влажность зерна в период приемки за 323 дня</t>
  </si>
  <si>
    <t>По данным КП OBIAL</t>
  </si>
  <si>
    <t>Удельный расход воды на 1 тн. ГП, куб.м.</t>
  </si>
  <si>
    <t xml:space="preserve">Потребление, куб.м./сут. </t>
  </si>
  <si>
    <t>тн/час</t>
  </si>
  <si>
    <r>
      <t>м</t>
    </r>
    <r>
      <rPr>
        <vertAlign val="superscript"/>
        <sz val="11"/>
        <color theme="1"/>
        <rFont val="Calibri (Основной текст)"/>
        <charset val="204"/>
      </rPr>
      <t>3</t>
    </r>
    <r>
      <rPr>
        <sz val="11"/>
        <color theme="1"/>
        <rFont val="Calibri"/>
        <family val="2"/>
        <charset val="204"/>
        <scheme val="minor"/>
      </rPr>
      <t>/ч</t>
    </r>
  </si>
  <si>
    <t>Проектные данные от S&amp;A на восполнение потерь при испарении и брызгоунос</t>
  </si>
  <si>
    <t>Расчет по невозврату конденсата для подпитки и продувки котлов</t>
  </si>
  <si>
    <t>Хозяйственно-бытовые нужды завода</t>
  </si>
  <si>
    <t>чел</t>
  </si>
  <si>
    <t>Нужды водоподготовки</t>
  </si>
  <si>
    <r>
      <t>м</t>
    </r>
    <r>
      <rPr>
        <vertAlign val="superscript"/>
        <sz val="11"/>
        <color theme="1"/>
        <rFont val="Calibri (Основной текст)"/>
        <charset val="204"/>
      </rPr>
      <t>3</t>
    </r>
    <r>
      <rPr>
        <sz val="11"/>
        <color theme="1"/>
        <rFont val="Calibri"/>
        <family val="2"/>
        <charset val="204"/>
        <scheme val="minor"/>
      </rPr>
      <t>/сут</t>
    </r>
  </si>
  <si>
    <t>расчет водпотребления при работе обратных осмосов</t>
  </si>
  <si>
    <r>
      <t>ИТОГО м</t>
    </r>
    <r>
      <rPr>
        <b/>
        <vertAlign val="superscript"/>
        <sz val="11"/>
        <color theme="1"/>
        <rFont val="Calibri (Основной текст)"/>
        <charset val="204"/>
      </rPr>
      <t>3</t>
    </r>
    <r>
      <rPr>
        <b/>
        <sz val="11"/>
        <color theme="1"/>
        <rFont val="Calibri"/>
        <family val="2"/>
        <charset val="204"/>
        <scheme val="minor"/>
      </rPr>
      <t>/сут</t>
    </r>
  </si>
  <si>
    <r>
      <t>ИТОГО м</t>
    </r>
    <r>
      <rPr>
        <b/>
        <vertAlign val="superscript"/>
        <sz val="11"/>
        <color theme="1"/>
        <rFont val="Calibri (Основной текст)"/>
        <charset val="204"/>
      </rPr>
      <t>3</t>
    </r>
    <r>
      <rPr>
        <b/>
        <sz val="11"/>
        <color theme="1"/>
        <rFont val="Calibri"/>
        <family val="2"/>
        <charset val="204"/>
        <scheme val="minor"/>
      </rPr>
      <t>/ч</t>
    </r>
  </si>
  <si>
    <t>Удельная величина</t>
  </si>
  <si>
    <t>Нормативный документ</t>
  </si>
  <si>
    <t>Штатная численность предприятия</t>
  </si>
  <si>
    <t>Штатное расписание</t>
  </si>
  <si>
    <t>Количество работников пользующихся  душевой в смену</t>
  </si>
  <si>
    <t>Производственный и вспомогательный персонал в 1-ую смену</t>
  </si>
  <si>
    <t>Количество работников на 1 душевую лейку в смену</t>
  </si>
  <si>
    <t>Предварительный расчет</t>
  </si>
  <si>
    <t>Количество леек</t>
  </si>
  <si>
    <t>Расчет п.2 / п.3</t>
  </si>
  <si>
    <t>Норма расхода воды в сутки со средним за год потреблением общая (в т. ч. горячая)</t>
  </si>
  <si>
    <t>СП 30.13330.2016 Таблица А.2 п.20</t>
  </si>
  <si>
    <t>Удельный расход воды на 1 душевую лейку в смену, л/см</t>
  </si>
  <si>
    <t>СП 30.13330.2016 Таблица А.2 п.21</t>
  </si>
  <si>
    <t>Количество смен</t>
  </si>
  <si>
    <t>Техническое задание на проектирование</t>
  </si>
  <si>
    <t>Расход воды на личные цели: туалет, умывание и пр.  на штатную численность,  л/сут</t>
  </si>
  <si>
    <t>Расчет: п.1 х п.5 </t>
  </si>
  <si>
    <t>Расход воды на душевые л/сут</t>
  </si>
  <si>
    <t>Расчет: п.4 х п.6 х п.7</t>
  </si>
  <si>
    <t>ИТОГО: л/сут</t>
  </si>
  <si>
    <t>ИТОГО: м3/сут</t>
  </si>
  <si>
    <t>Удельный расход пара на 1 тн. ГП, тн</t>
  </si>
  <si>
    <t>Ср.дн. потребление, т/ч</t>
  </si>
  <si>
    <t>Пиковое потребление</t>
  </si>
  <si>
    <t>Потребление, т/год</t>
  </si>
  <si>
    <t xml:space="preserve">Потребление газа на выработку пара, нм3/ч </t>
  </si>
  <si>
    <t xml:space="preserve">Потребление газа на выработку пара, нм3/год </t>
  </si>
  <si>
    <t>Отопление помещений Завода</t>
  </si>
  <si>
    <t>Расчет Исполнителя по методике Завкома</t>
  </si>
  <si>
    <t xml:space="preserve">Удельный расход газа (нм3/ч) на производство 1 тн водяного пара для парового котла Viessmann VITOMAX 200 HS  </t>
  </si>
  <si>
    <t>Годовой фонд рабочего времени</t>
  </si>
  <si>
    <t>Предварительный расчет расхода тепла на отопление помещений по Проекту</t>
  </si>
  <si>
    <t>Наименование сооружения</t>
  </si>
  <si>
    <t>Объем бытовых помещений, м3</t>
  </si>
  <si>
    <t>Объем производственных помещений, м3</t>
  </si>
  <si>
    <t>Объем складских помещений, м3</t>
  </si>
  <si>
    <t>Расход тепла на отопление бытовых помещений, кВт</t>
  </si>
  <si>
    <t>Расход тепла на отопление производственныхпомещений, кВт</t>
  </si>
  <si>
    <t>Расход тепла на отопление складских помещений, кВт</t>
  </si>
  <si>
    <t>Итого заложено, кВт</t>
  </si>
  <si>
    <t>Расход тепла проектные данные, кВт</t>
  </si>
  <si>
    <t>Температура воздуха в  бытовых помешениях</t>
  </si>
  <si>
    <t>Температура воздуха в     производственных помешениях</t>
  </si>
  <si>
    <t>Температура воздуха в     складских помешениях</t>
  </si>
  <si>
    <t>Температура воздуха</t>
  </si>
  <si>
    <t>Максимальный тепловой поток на отопление*</t>
  </si>
  <si>
    <t>Максимальный тепловой поток на вентиляцию*</t>
  </si>
  <si>
    <t>a- поправочный коэффициет*</t>
  </si>
  <si>
    <t>qo - удельная отопительная характеристика помещения*</t>
  </si>
  <si>
    <t>qv - удельная вентяционная характеристика помещения*</t>
  </si>
  <si>
    <t>Vн  -объем здания по наружнему обмеру*</t>
  </si>
  <si>
    <t>Км  - повышающий коэффициент для учета потерь теплоты*</t>
  </si>
  <si>
    <t>Q=a*qo*Vн*(tв-tн)*Kм</t>
  </si>
  <si>
    <t>Q=qv*Vн*(tв-tн)</t>
  </si>
  <si>
    <t xml:space="preserve">Склад химикатов
</t>
  </si>
  <si>
    <t>Цех водоподготовки и противопожарного водоснабжения</t>
  </si>
  <si>
    <t>Компрессорная станция</t>
  </si>
  <si>
    <t>Административно -бытовой комплекс</t>
  </si>
  <si>
    <t>Насосная системы оборотного водоснабжения</t>
  </si>
  <si>
    <t>Итого, кВт:</t>
  </si>
  <si>
    <t>Итого, ккал/час:</t>
  </si>
  <si>
    <t>Расход пара</t>
  </si>
  <si>
    <t>т/год</t>
  </si>
  <si>
    <t>Итого пара, т/ч</t>
  </si>
  <si>
    <t>Итого пара, т/ год</t>
  </si>
  <si>
    <t xml:space="preserve">*Методические указания
по определению расходов топлива, </t>
  </si>
  <si>
    <t xml:space="preserve">электроэнергии и воды 
на выработку теплоты отопительными котельными 
 коммунальных теплоэнергетических предприятий
</t>
  </si>
  <si>
    <t>Продолжительность отопительного периода, ч</t>
  </si>
  <si>
    <t>Количество рабочих часов в году</t>
  </si>
  <si>
    <t>Расход в год, ед. изм.</t>
  </si>
  <si>
    <t>Мощность, тн/год</t>
  </si>
  <si>
    <t>Реализация биоэтанола</t>
  </si>
  <si>
    <t>Реализация DDGS</t>
  </si>
  <si>
    <t>Производство биоэтанола</t>
  </si>
  <si>
    <t>Производство DDGS</t>
  </si>
  <si>
    <t>Производство сивушного масла</t>
  </si>
  <si>
    <t>Объем производства и реализации готвой продукции</t>
  </si>
  <si>
    <t>Итого-1</t>
  </si>
  <si>
    <t>Итого-2</t>
  </si>
  <si>
    <t>Мес.</t>
  </si>
  <si>
    <t>Ремонт зданий и сооружений</t>
  </si>
  <si>
    <t>Прочие, 5% от остальных</t>
  </si>
  <si>
    <t>Санитарные сертификаты</t>
  </si>
  <si>
    <t>ООО "Компания "Сталер"</t>
  </si>
  <si>
    <t>Упаковка биг-бэг</t>
  </si>
  <si>
    <t>Кукуруза</t>
  </si>
  <si>
    <t>руб/тн</t>
  </si>
  <si>
    <t>курс USD</t>
  </si>
  <si>
    <t>Начисления на ФОТ</t>
  </si>
  <si>
    <t>Средняя зарплата по Проекту</t>
  </si>
  <si>
    <t>данные Заказчика</t>
  </si>
  <si>
    <t>Росстат</t>
  </si>
  <si>
    <t>Канцелярия, картриджи, бумага и прочее</t>
  </si>
  <si>
    <t>1 тыс. руб. на 1 офисного работника в месяц</t>
  </si>
  <si>
    <t>Обучение персонала</t>
  </si>
  <si>
    <t>Прочие, 10%</t>
  </si>
  <si>
    <t>Производственные</t>
  </si>
  <si>
    <t>ВСЕГО</t>
  </si>
  <si>
    <t>Итого-3</t>
  </si>
  <si>
    <t>Срок полезного использования, лет</t>
  </si>
  <si>
    <t>Проект_средняя стоимость</t>
  </si>
  <si>
    <t>Итого-4</t>
  </si>
  <si>
    <t xml:space="preserve"> </t>
  </si>
  <si>
    <t>Процентная ставка по кредиту</t>
  </si>
  <si>
    <t>Сумма начисленных процентов на лимит кредита за год, млн. руб.</t>
  </si>
  <si>
    <t>Проценты по кредиту</t>
  </si>
  <si>
    <t>Итого-5</t>
  </si>
  <si>
    <t>Линейная амортизация для расчета калькуляции</t>
  </si>
  <si>
    <t>Эктос</t>
  </si>
  <si>
    <t>Переменные затраты на выпуск продукции, тыс. руб.</t>
  </si>
  <si>
    <t>Постоянные расходы</t>
  </si>
  <si>
    <t>Чистый денежный поток без выплат по кредиту</t>
  </si>
  <si>
    <t>График оплаты инвестиционных затрат, тыс. руб.</t>
  </si>
  <si>
    <t>Допущения по Проекту</t>
  </si>
  <si>
    <t>Затраты на разработку проектно-сметной документации и проведение инженерных изысканий</t>
  </si>
  <si>
    <t>Выход полупродуктов</t>
  </si>
  <si>
    <t>Крахмал</t>
  </si>
  <si>
    <t>Кол-во, ед.изм./год</t>
  </si>
  <si>
    <t>Углекислота</t>
  </si>
  <si>
    <t>Кол-во а.с.в, %</t>
  </si>
  <si>
    <t>Кол-во, а.с.в.</t>
  </si>
  <si>
    <t>Производство углекислоты*</t>
  </si>
  <si>
    <t>* - объем производства товарной углекислоты принят 50% от максимальной возможности в связи с ограничениями по ее сбыту</t>
  </si>
  <si>
    <t>Параметр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</si>
  <si>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</si>
  <si>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</si>
  <si>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</si>
  <si>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</si>
  <si>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</si>
  <si>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</si>
  <si>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</si>
  <si>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</si>
  <si>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</si>
  <si>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</si>
  <si>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</si>
  <si>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</si>
  <si>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Проверка</t>
  </si>
  <si>
    <t>руб./тн.</t>
  </si>
  <si>
    <t>Запас зерна на начало мес.</t>
  </si>
  <si>
    <t>Закупка зерна</t>
  </si>
  <si>
    <t>Расход зерна</t>
  </si>
  <si>
    <t>Свободные емкости</t>
  </si>
  <si>
    <t>Запас зерна на конец мес.</t>
  </si>
  <si>
    <t>Цена</t>
  </si>
  <si>
    <t>Мощность элеватора, тн.</t>
  </si>
  <si>
    <t>Расход зерна, тн. мес.</t>
  </si>
  <si>
    <t>Налог на имущество</t>
  </si>
  <si>
    <t>Динамика постоянный затрат</t>
  </si>
  <si>
    <t>можно вносить данные</t>
  </si>
  <si>
    <t>Отопление помещений</t>
  </si>
  <si>
    <t>НДС_возмещение по капитальным затратам</t>
  </si>
  <si>
    <t>Расходы на строительство:</t>
  </si>
  <si>
    <t>Здание химикатов</t>
  </si>
  <si>
    <t>Сумма кредита, тыс. руб.</t>
  </si>
  <si>
    <t>Срок, лет</t>
  </si>
  <si>
    <t>Ставка, %</t>
  </si>
  <si>
    <t>Баллун, тыс. руб.</t>
  </si>
  <si>
    <t>2022</t>
  </si>
  <si>
    <t>2023</t>
  </si>
  <si>
    <t>Уплата и возмещение НДС</t>
  </si>
  <si>
    <t>Показатели эффективности инвестиционных затрат</t>
  </si>
  <si>
    <t>Показатель / даты</t>
  </si>
  <si>
    <t>Срок возврата, простой, лет</t>
  </si>
  <si>
    <t>Срок возврата, дисконтированный, лет</t>
  </si>
  <si>
    <t>CAPEX с НДС</t>
  </si>
  <si>
    <t>Варианты завода</t>
  </si>
  <si>
    <t>№1</t>
  </si>
  <si>
    <t>№2</t>
  </si>
  <si>
    <t>1.1.1</t>
  </si>
  <si>
    <t>1.1.2</t>
  </si>
  <si>
    <t>1.1.3</t>
  </si>
  <si>
    <t>1.1.4</t>
  </si>
  <si>
    <t>1.1.5</t>
  </si>
  <si>
    <t>Курс $</t>
  </si>
  <si>
    <t>Курс €</t>
  </si>
  <si>
    <t>Цена, млн. руб. с НДС</t>
  </si>
  <si>
    <t>OPEX-4_плюс амортизация</t>
  </si>
  <si>
    <t>OPEX-5_плюс % по кредитам</t>
  </si>
  <si>
    <t>Дисконтируемый срок окупаемости</t>
  </si>
  <si>
    <t>Ставка дисконтирования</t>
  </si>
  <si>
    <t>лет</t>
  </si>
  <si>
    <t>Простой срок окупаемости</t>
  </si>
  <si>
    <t>Здание и СМР</t>
  </si>
  <si>
    <t>OPEX-2_плюс ФОТ и пост. затраты</t>
  </si>
  <si>
    <t>Доля крахмала</t>
  </si>
  <si>
    <t>Штат</t>
  </si>
  <si>
    <t>$/тн</t>
  </si>
  <si>
    <t>чел.</t>
  </si>
  <si>
    <t>руб/тн без НДС</t>
  </si>
  <si>
    <t>Кдиск</t>
  </si>
  <si>
    <t>Первоначальные инвестиции (сумма кредита), тыс. руб.</t>
  </si>
  <si>
    <t>NPV, тыс. руб.</t>
  </si>
  <si>
    <t>Дисконтированный поток (DNCF), тыс. руб.</t>
  </si>
  <si>
    <t>Чистая прибыль за 10 лет, тыс. руб.</t>
  </si>
  <si>
    <t>СМР для монтажа зерно-приемного, очистительного и сушильного оборудования</t>
  </si>
  <si>
    <t>Зерносклады</t>
  </si>
  <si>
    <t>Зерно-приемное, -очистительное и -сушильное оборудование</t>
  </si>
  <si>
    <t>АО «Агропромтехника»</t>
  </si>
  <si>
    <t>Таб. №3</t>
  </si>
  <si>
    <t>Таб.№4</t>
  </si>
  <si>
    <t>Прочие работы и затраты (10% от СМР пп. 1-8)</t>
  </si>
  <si>
    <t>Таб. №8</t>
  </si>
  <si>
    <t>Зерно очищенное</t>
  </si>
  <si>
    <t>Выручка от реализации готовой продукции</t>
  </si>
  <si>
    <t>Доля, в с/с</t>
  </si>
  <si>
    <t>ФОТ по категориям сотрудников</t>
  </si>
  <si>
    <t>Таб. №11</t>
  </si>
  <si>
    <t>Таб. №13</t>
  </si>
  <si>
    <t>План движения денежных средств Проекта</t>
  </si>
  <si>
    <t>График выборки и погашения кредита</t>
  </si>
  <si>
    <t>Штатное расписание исходя из 40 часовой рабочей недели и работы завода в три смены</t>
  </si>
  <si>
    <t>Динамика цен на лимонную кислоту в Китае</t>
  </si>
  <si>
    <t>Месяц</t>
  </si>
  <si>
    <t>Цена, ангидрид</t>
  </si>
  <si>
    <t>Цена, моногидрат</t>
  </si>
  <si>
    <t>9 мес. 2021</t>
  </si>
  <si>
    <t>н.д.</t>
  </si>
  <si>
    <t>Среднее значение за год</t>
  </si>
  <si>
    <t>Материальный баланс_Кукуруза</t>
  </si>
  <si>
    <t>ЛК</t>
  </si>
  <si>
    <t>Дробленное зерно</t>
  </si>
  <si>
    <t>Отходы, пыль</t>
  </si>
  <si>
    <t>% от массы</t>
  </si>
  <si>
    <t>Прочее, всего</t>
  </si>
  <si>
    <t>Сухой кукурузный корм (гликопротеин)</t>
  </si>
  <si>
    <t>Корм (мицелиальный белок)</t>
  </si>
  <si>
    <t>Итого СВ продуктов</t>
  </si>
  <si>
    <t>Потери СВ при производстве</t>
  </si>
  <si>
    <t>Цитрогипс_влажный</t>
  </si>
  <si>
    <t>Цитрогипс_сухой</t>
  </si>
  <si>
    <t>Испаряемая влага с цитрогипса</t>
  </si>
  <si>
    <t>Ульяновск</t>
  </si>
  <si>
    <t>Приказ ФАС №454/23 от 12.07.2023 г., Приказ ФАС №1456/21 от 17.12.2021 г., Приказ ФАС №225/22 от 21.03.2022 г., Приказ Агентства по регулированию цен и тарифов Ульяновской области №342-П от 15.12.2022 г.</t>
  </si>
  <si>
    <t>ПЕРИОД: Май 2023 год</t>
  </si>
  <si>
    <t>IV.Четвертая ценовая категория</t>
  </si>
  <si>
    <t>(для объемов покупки электрической энергии(мощности),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двухставочном исчислении)</t>
  </si>
  <si>
    <t>1. Ставка за электрическую энергию предельного уровня нерегулируемой цены для подгруппы потребителей, максимальная мощность энергопринимающих устройств которых менее 670 кВт</t>
  </si>
  <si>
    <t>РСВ</t>
  </si>
  <si>
    <t>Ставка, применяемая к фактическому почасовому объему покупки электрической энергии, отпущенному на уровне напряжения (рублей/МВт*ч без НДС)- ВН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</si>
  <si>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</si>
  <si>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</si>
  <si>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</si>
  <si>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</si>
  <si>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</si>
  <si>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</si>
  <si>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</si>
  <si>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</si>
  <si>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</si>
  <si>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</si>
  <si>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</si>
  <si>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</si>
  <si>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</si>
  <si>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</si>
  <si>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</si>
  <si>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</si>
  <si>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</si>
  <si>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</si>
  <si>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</si>
  <si>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</si>
  <si>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</si>
  <si>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</si>
  <si>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</si>
  <si>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23 - 00</t>
  </si>
  <si>
    <t>Ставка, применяемая к фактическому почасовому объему покупки электрической энергии, отпущенному на уровне напряжения (рублей/МВт*ч без НДС)- СН I</t>
  </si>
  <si>
    <t>Ставка, применяемая к фактическому почасовому объему покупки электрической энергии, отпущенному на уровне напряжения (рублей/МВт*ч без НДС)- СН II</t>
  </si>
  <si>
    <t>Ставка, применяемая к фактическому почасовому объему покупки электрической энергии, отпущенному на уровне напряжения (рублей/МВт*ч без НДС)- НН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</si>
  <si>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</t>
  </si>
  <si>
    <t>3. Дифференцированная по уровням напряжения ставка тарифа на услуги по передече электрической энергии за содержание электрических сетей предельного уровня нерегулируемых цен, рублей/МВт в месяц без НДС</t>
  </si>
  <si>
    <t>CH I</t>
  </si>
  <si>
    <t>CH II</t>
  </si>
  <si>
    <t>HH</t>
  </si>
  <si>
    <t>Ставка тарифа на услуги по передаче электрической энергии за содержание электрических сетей</t>
  </si>
  <si>
    <t>2. Ставка за электрическую энергию предельного уровня нерегулируемой цены для подгруппы потребителей, максимальная мощность энергопринимающих устройств которых от 670 кВт до 10 МВт</t>
  </si>
  <si>
    <t>3. Ставка за электрическую энергию предельного уровня нерегулируемой цены для подгруппы потребителей, максимальная мощность энергопринимающих устройств которых более 10 МВт</t>
  </si>
  <si>
    <t>https://old.ulenergo.ru/tseny-tarify</t>
  </si>
  <si>
    <t>АО "Ульяновскэнерго"</t>
  </si>
  <si>
    <t>https://novospasskij-r73.gosweb.gosuslugi.ru/dlya-zhiteley/poleznye-materialy/tarify-oplaty-uslug-zhkh/</t>
  </si>
  <si>
    <t xml:space="preserve">Средние цены на приобретенное промышленными организациями зерно для основного производства с 2017 г. </t>
  </si>
  <si>
    <t/>
  </si>
  <si>
    <t>Средняя цена</t>
  </si>
  <si>
    <t>рубль</t>
  </si>
  <si>
    <t>Все направления использования зерна</t>
  </si>
  <si>
    <t>Российская Федерация</t>
  </si>
  <si>
    <t xml:space="preserve">    Центральный федеральный округ</t>
  </si>
  <si>
    <t xml:space="preserve">        Белгородская область</t>
  </si>
  <si>
    <t xml:space="preserve">        Владимирская область</t>
  </si>
  <si>
    <t xml:space="preserve">        Воронежская область</t>
  </si>
  <si>
    <t xml:space="preserve">        Калужская область</t>
  </si>
  <si>
    <t xml:space="preserve">        Курская область</t>
  </si>
  <si>
    <t xml:space="preserve">        Московская область</t>
  </si>
  <si>
    <t xml:space="preserve">        Рязанская область</t>
  </si>
  <si>
    <t xml:space="preserve">        Тамбовская область</t>
  </si>
  <si>
    <t xml:space="preserve">        Тульская область</t>
  </si>
  <si>
    <t xml:space="preserve">    Северо-Западный федеральный округ</t>
  </si>
  <si>
    <t xml:space="preserve">        Ленинградская область</t>
  </si>
  <si>
    <t xml:space="preserve">    Южный федеральный округ (с 29.07.2016)</t>
  </si>
  <si>
    <t xml:space="preserve">        Краснодарский край</t>
  </si>
  <si>
    <t xml:space="preserve">        Ростовская область</t>
  </si>
  <si>
    <t xml:space="preserve">    Северо-Кавказский федеральный округ</t>
  </si>
  <si>
    <t xml:space="preserve">        Кабардино-Балкарская Республика</t>
  </si>
  <si>
    <t xml:space="preserve">        Республика Северная Осетия-Алания</t>
  </si>
  <si>
    <t xml:space="preserve">        Ставропольский край</t>
  </si>
  <si>
    <t xml:space="preserve">    Приволжский федеральный округ</t>
  </si>
  <si>
    <t xml:space="preserve">        Республика Мордовия</t>
  </si>
  <si>
    <t xml:space="preserve">        Республика Татарстан (Татарстан)</t>
  </si>
  <si>
    <t xml:space="preserve">        Пермский край</t>
  </si>
  <si>
    <t xml:space="preserve">        Пензенская область</t>
  </si>
  <si>
    <t xml:space="preserve">    Уральский федеральный округ</t>
  </si>
  <si>
    <t xml:space="preserve">        Свердловская область</t>
  </si>
  <si>
    <t xml:space="preserve">        Алтайский край</t>
  </si>
  <si>
    <t xml:space="preserve">        Амурская область</t>
  </si>
  <si>
    <t>Источник:</t>
  </si>
  <si>
    <t>https://www.fedstat.ru</t>
  </si>
  <si>
    <t>https://www.mcx73.ru/activity/insurance-rules/</t>
  </si>
  <si>
    <t>Цена за ед., руб. без НДС с доставкой</t>
  </si>
  <si>
    <t>Воскресенский завод фосфорных кислот</t>
  </si>
  <si>
    <t>https://tdofk.ru/catalog/sernaya-kislota-h2so4?ysclid=lke21hy4ou482115607</t>
  </si>
  <si>
    <t>ООО "Газпром нефтехим Салават"</t>
  </si>
  <si>
    <t>https://salavat-neftekhim.gazprom.ru</t>
  </si>
  <si>
    <t xml:space="preserve"> ООО "АКВАТЭК"</t>
  </si>
  <si>
    <t>https://a8800.ru/catalog/penogasiteli_penta</t>
  </si>
  <si>
    <t>Расчет Исполнителя</t>
  </si>
  <si>
    <t>Газ!G2</t>
  </si>
  <si>
    <t>Курс юаня</t>
  </si>
  <si>
    <t>курс ¥</t>
  </si>
  <si>
    <t>Линия по производству ЛК</t>
  </si>
  <si>
    <t>COFCO</t>
  </si>
  <si>
    <t>юань</t>
  </si>
  <si>
    <t>Зерносклад: хранение</t>
  </si>
  <si>
    <t>Мощность пр-ва, т/год</t>
  </si>
  <si>
    <t>КП от COFCO</t>
  </si>
  <si>
    <t>Предварительный расчет потребления газа на сушку цитрогипса по испаряемой влаге</t>
  </si>
  <si>
    <t>1</t>
  </si>
  <si>
    <t xml:space="preserve">Сушка цитрогипса </t>
  </si>
  <si>
    <t>равномерно</t>
  </si>
  <si>
    <t>пик</t>
  </si>
  <si>
    <t>Ед.изм.</t>
  </si>
  <si>
    <t>Содержание СВ</t>
  </si>
  <si>
    <t>Содержание воды</t>
  </si>
  <si>
    <t>Масса воды</t>
  </si>
  <si>
    <t>Теплоемкость воды</t>
  </si>
  <si>
    <t>Дж/(кг*К)</t>
  </si>
  <si>
    <t>Удельная теплота парообразования воды</t>
  </si>
  <si>
    <t>кДж/кг</t>
  </si>
  <si>
    <t>°С</t>
  </si>
  <si>
    <t>Энергия на нагрев воды</t>
  </si>
  <si>
    <t>мДж</t>
  </si>
  <si>
    <t>Энергия на испарение воды</t>
  </si>
  <si>
    <t>Итого потребность энергии на испарение воды</t>
  </si>
  <si>
    <t>Потребность в природном газе</t>
  </si>
  <si>
    <t>Справочно</t>
  </si>
  <si>
    <t>1мВт</t>
  </si>
  <si>
    <t>гКл</t>
  </si>
  <si>
    <t>Теплоёмкость природного газа</t>
  </si>
  <si>
    <t>Кол-во рабочих дней в году</t>
  </si>
  <si>
    <t>Расчет расхода энергии на сушку цитрогипса</t>
  </si>
  <si>
    <t>тн/год</t>
  </si>
  <si>
    <t>Объем образующейся чистой воды</t>
  </si>
  <si>
    <r>
      <t>м</t>
    </r>
    <r>
      <rPr>
        <b/>
        <vertAlign val="superscript"/>
        <sz val="11"/>
        <color theme="1"/>
        <rFont val="Arial"/>
        <family val="2"/>
        <charset val="204"/>
      </rPr>
      <t>3</t>
    </r>
    <r>
      <rPr>
        <b/>
        <sz val="11"/>
        <color theme="1"/>
        <rFont val="Arial"/>
        <family val="2"/>
        <charset val="204"/>
      </rPr>
      <t>/ч</t>
    </r>
  </si>
  <si>
    <t>Масса цитрогипса (влажного)</t>
  </si>
  <si>
    <t>Содержание СВ в сухом цитрогипсе</t>
  </si>
  <si>
    <t>Масса цитрогипса (сухого)</t>
  </si>
  <si>
    <t xml:space="preserve">Молотковая дробилка вертикальная ДР-10 </t>
  </si>
  <si>
    <t>КанМаш</t>
  </si>
  <si>
    <t>http://kanmash.ru/drobilka-rotornaya-km-dr-10h10.html?ysclid=lkhfnn55z7896010347</t>
  </si>
  <si>
    <t>Зерноочистительная установка 5XFZ-40Z</t>
  </si>
  <si>
    <t>Спецер</t>
  </si>
  <si>
    <t>Магнитный сепаратор Сапсан 5СX-5II</t>
  </si>
  <si>
    <t>https://fsapsan.ru/catalog/zernoochistitelnoe-oborudovanie/zernoviye_separatori/magnitnye-separatory/julite-5sx-5ii/</t>
  </si>
  <si>
    <t xml:space="preserve">ООО «Смарт Грэйд» </t>
  </si>
  <si>
    <t>Упаковка ЛК</t>
  </si>
  <si>
    <t>Дробилка цитрогипса</t>
  </si>
  <si>
    <t>Сушка цитрогипса НИАГАРА-50</t>
  </si>
  <si>
    <t>СтройМеханика</t>
  </si>
  <si>
    <t>ItalTech</t>
  </si>
  <si>
    <t>https://www.italtech.biz</t>
  </si>
  <si>
    <t>https://www.stroymehanika.ru/catalog/sushilnye-ustanovki-barabannogo-tipa/sushilnye-ustanovki-barabannogo-tipa-niagara/</t>
  </si>
  <si>
    <t xml:space="preserve">Ультратонкая шлифовальная мельница HGM 80 </t>
  </si>
  <si>
    <t>https://russian.alibaba.com/product-detail/HGM-80-Ultra-Fine-Mine-Grinding-1600309982003.html</t>
  </si>
  <si>
    <t>SHANGHAI CLIRIK MACHINERY</t>
  </si>
  <si>
    <t>USD</t>
  </si>
  <si>
    <t>Прочее вспомогательное оборудование (50% от основного)</t>
  </si>
  <si>
    <t>Итого цена линии</t>
  </si>
  <si>
    <t>Карбонат кальция</t>
  </si>
  <si>
    <t>Уголь активированный порошковый</t>
  </si>
  <si>
    <t>Диатомит</t>
  </si>
  <si>
    <t>Гидроксид натрия, 42%</t>
  </si>
  <si>
    <t>https://spb.a8800.ru/catalog/cshelochi?ysclid=lkhnmidkgy692266953</t>
  </si>
  <si>
    <t>Кислота соляная, 31%</t>
  </si>
  <si>
    <t>МАГНА</t>
  </si>
  <si>
    <t>https://uralhimsorb.ru/assets/files/17.07.2023g-aktivnye-ugli-pzs-uhs-yur.pdf</t>
  </si>
  <si>
    <t>ПЕРМСКИЙ ЗАВОД СОРБЕНТОВ
«УРАЛХИМСОРБ»</t>
  </si>
  <si>
    <t xml:space="preserve">https://a8800.ru/catalog/sorbenty-neftesorbenty/diatomit-kizelgur?ysclid=lkhoqjcuo4992046255 </t>
  </si>
  <si>
    <t>КП от Акрон в 2019 г. с учетом инф-ции</t>
  </si>
  <si>
    <t>https://www.stalerplast.ru/myagkie-konteynery-big-begi</t>
  </si>
  <si>
    <t>Артезианские скважины</t>
  </si>
  <si>
    <t>Очистные сооружения</t>
  </si>
  <si>
    <t>Линия упаковки ЛК</t>
  </si>
  <si>
    <t>Пр-ль</t>
  </si>
  <si>
    <t>Цена в ед. изм.</t>
  </si>
  <si>
    <t>Расчет цены линии упаковки ЛК</t>
  </si>
  <si>
    <t>Установка для фасовки ФАС-КМ2</t>
  </si>
  <si>
    <t>Завод ААМикс</t>
  </si>
  <si>
    <t>Ссылка</t>
  </si>
  <si>
    <t>https://isilos.ru/1price_wam.pdf</t>
  </si>
  <si>
    <t>Эл/Эн, кВт/ч</t>
  </si>
  <si>
    <t>Таб. №5-1</t>
  </si>
  <si>
    <t>Кол-во, шт.</t>
  </si>
  <si>
    <t>Приемный бункер, 4 куб.м.</t>
  </si>
  <si>
    <t>Шнековый транспортер AAMixFlow SP</t>
  </si>
  <si>
    <t>Циклон ЦН 15-1000 УП</t>
  </si>
  <si>
    <t>Измельчитель комков LBC 300P</t>
  </si>
  <si>
    <t>Паллетоупаковщик HL-1650F с E-платформой</t>
  </si>
  <si>
    <t>Hualian Machinery</t>
  </si>
  <si>
    <t>https://hmru.ru/catalog/palletoupakovshchiki/palletoupakovshchik_hl_1650f_s_e_platformoy_s_motorizirovannoy_karetkoy_s_prestreychem/</t>
  </si>
  <si>
    <t>5-1_ЛК'!A1</t>
  </si>
  <si>
    <t>Цена, ед. изм.</t>
  </si>
  <si>
    <t>Сумма, тыс. руб. без НДС</t>
  </si>
  <si>
    <t>Конвейер</t>
  </si>
  <si>
    <t>5-2</t>
  </si>
  <si>
    <t>Расчет цены линии по сушке и упаковке цитрогипса</t>
  </si>
  <si>
    <t>Расчет Консультанта</t>
  </si>
  <si>
    <t>Потребность в природном газе, чистая</t>
  </si>
  <si>
    <t>КПД сушилки</t>
  </si>
  <si>
    <t>Расход природного газа на сушку</t>
  </si>
  <si>
    <r>
      <t>м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/год</t>
    </r>
  </si>
  <si>
    <r>
      <t>м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/ч</t>
    </r>
  </si>
  <si>
    <r>
      <t>м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/сутки</t>
    </r>
  </si>
  <si>
    <t>Мощность аналога</t>
  </si>
  <si>
    <t>Мощность Завода</t>
  </si>
  <si>
    <t>Коэф. кор.</t>
  </si>
  <si>
    <t xml:space="preserve">Потребление аналога, нм3/ч </t>
  </si>
  <si>
    <t xml:space="preserve"> Расход тепла, кКал/ч</t>
  </si>
  <si>
    <t>Потребление Завода, нм3/ч</t>
  </si>
  <si>
    <t>Потребление, нм3/год</t>
  </si>
  <si>
    <t>Инжиниринг COFCO</t>
  </si>
  <si>
    <t>Дельта с расчетом</t>
  </si>
  <si>
    <t>Расчет корректный</t>
  </si>
  <si>
    <t>Сушка зерна</t>
  </si>
  <si>
    <r>
      <t>Уд. расход газа на тн кукурузы из КП, м</t>
    </r>
    <r>
      <rPr>
        <b/>
        <vertAlign val="superscript"/>
        <sz val="11"/>
        <color theme="1"/>
        <rFont val="Calibri"/>
        <family val="2"/>
        <charset val="204"/>
        <scheme val="minor"/>
      </rPr>
      <t>3</t>
    </r>
  </si>
  <si>
    <r>
      <t>Удельный расход газа на тн кукурузы по формуле, м</t>
    </r>
    <r>
      <rPr>
        <b/>
        <vertAlign val="superscript"/>
        <sz val="11"/>
        <color theme="1"/>
        <rFont val="Calibri"/>
        <family val="2"/>
        <charset val="204"/>
        <scheme val="minor"/>
      </rPr>
      <t>3</t>
    </r>
  </si>
  <si>
    <t>Объем принимаемой кукурузы на 1 этапе за 42 дня (во время уборки)</t>
  </si>
  <si>
    <t>Объем принимаемой кукурузы за 323 дня (после уборки)</t>
  </si>
  <si>
    <t>Цех ЛК</t>
  </si>
  <si>
    <t>Сушка цитрогипса</t>
  </si>
  <si>
    <t>Сушка мицелия</t>
  </si>
  <si>
    <t>Сушка корма</t>
  </si>
  <si>
    <t>Пр-во, тн/год</t>
  </si>
  <si>
    <t>Мощность, кВт</t>
  </si>
  <si>
    <t>Установленная, 1 шт.</t>
  </si>
  <si>
    <t>Установленная, всего</t>
  </si>
  <si>
    <t>Двигатели (вентиляторы)</t>
  </si>
  <si>
    <t>Насосы</t>
  </si>
  <si>
    <t>Прочее</t>
  </si>
  <si>
    <t>Потребляемая, % от УМ</t>
  </si>
  <si>
    <t>Потребляемая мощность</t>
  </si>
  <si>
    <t>Расчет энергопотребления градирен</t>
  </si>
  <si>
    <t>Цех по производству ЛК</t>
  </si>
  <si>
    <t>Кол-во раб. дней в году</t>
  </si>
  <si>
    <t>Кол-во раб. часов в году</t>
  </si>
  <si>
    <t>Расчет расхода энергии на сушку мицелия</t>
  </si>
  <si>
    <t>Расчет расхода энергии на сушку корма</t>
  </si>
  <si>
    <t>Содержание СВ в сухом мицелии</t>
  </si>
  <si>
    <t>Масса мицелия (сухого)</t>
  </si>
  <si>
    <t>Масса мицелия (влажного)</t>
  </si>
  <si>
    <t>Содержание СВ во влажном мицелии</t>
  </si>
  <si>
    <t>Исходная температура цитрогипса</t>
  </si>
  <si>
    <t>Исходная температура мицелия</t>
  </si>
  <si>
    <t>Кол-во рабочих часов в году</t>
  </si>
  <si>
    <t>Масса корма (сухого)</t>
  </si>
  <si>
    <t>Масса корма (влажного)</t>
  </si>
  <si>
    <t>Содержание СВ во влажном корме</t>
  </si>
  <si>
    <t>Содержание СВ в сухом корме</t>
  </si>
  <si>
    <t>Исходная температура корма</t>
  </si>
  <si>
    <r>
      <t>м</t>
    </r>
    <r>
      <rPr>
        <b/>
        <vertAlign val="superscript"/>
        <sz val="11"/>
        <color theme="1"/>
        <rFont val="Arial"/>
        <family val="2"/>
      </rPr>
      <t>3</t>
    </r>
    <r>
      <rPr>
        <b/>
        <sz val="11"/>
        <color theme="1"/>
        <rFont val="Arial"/>
        <family val="2"/>
      </rPr>
      <t>/ч</t>
    </r>
  </si>
  <si>
    <t>Расход газа на сушку побочных продуктов</t>
  </si>
  <si>
    <t>Произв-ть, куб.м./ч</t>
  </si>
  <si>
    <t>Эл/эн мощность, кВт</t>
  </si>
  <si>
    <t>Суммарная мощность, кВт</t>
  </si>
  <si>
    <t>Компрессор 3,5 Бар</t>
  </si>
  <si>
    <t>IHI Dalgakiran</t>
  </si>
  <si>
    <t>IHI Dalgakiran, Atlas Copco</t>
  </si>
  <si>
    <t>Участок</t>
  </si>
  <si>
    <t>Технология</t>
  </si>
  <si>
    <t>КиП</t>
  </si>
  <si>
    <t>Цена, всего, тыс. руб. без НДС</t>
  </si>
  <si>
    <t>Курс евро</t>
  </si>
  <si>
    <t>Главный технолог</t>
  </si>
  <si>
    <t>Зерно-склад</t>
  </si>
  <si>
    <t>Начальник зерно-склада</t>
  </si>
  <si>
    <t>Склад готовой продукции</t>
  </si>
  <si>
    <t>Склад ГП</t>
  </si>
  <si>
    <t>Начальник склада ГП</t>
  </si>
  <si>
    <t>Кладовщик</t>
  </si>
  <si>
    <t>Водитель погрузчика</t>
  </si>
  <si>
    <t>Скдлад сырья и материалов</t>
  </si>
  <si>
    <t>Персонал</t>
  </si>
  <si>
    <t>Цех ферментации</t>
  </si>
  <si>
    <t xml:space="preserve">Сотрудник </t>
  </si>
  <si>
    <t>Цех экстракции</t>
  </si>
  <si>
    <t>Цех очистки</t>
  </si>
  <si>
    <t>Сотрудник</t>
  </si>
  <si>
    <t>Пульт управления</t>
  </si>
  <si>
    <t>Генеральный директор</t>
  </si>
  <si>
    <t>Склад СиМ</t>
  </si>
  <si>
    <t>Средняя зарплата по региону в апреле 2023 г.</t>
  </si>
  <si>
    <t>https://73.rosstat.gov.ru</t>
  </si>
  <si>
    <t>Цех производства ЛК</t>
  </si>
  <si>
    <t>Цех ЛК плюс сушка и упаковка  плюс склады ГП</t>
  </si>
  <si>
    <t>Площадь отапливаемых помещений</t>
  </si>
  <si>
    <t>Потребление газа для котельной для выработки пара</t>
  </si>
  <si>
    <t>Расчет предварительно выполнен по нормам расхода воды для штатной численности 352 чел.</t>
  </si>
  <si>
    <t>COFCO и диссертация Черепова С.В.</t>
  </si>
  <si>
    <t>расчет водпотребления при работе обратных осмосов Hydrotech HT/RO 50-05-8-XLE</t>
  </si>
  <si>
    <t>Hydrotech</t>
  </si>
  <si>
    <t>https://watersmarket.ru/ht-ro-50-05-8-xle/</t>
  </si>
  <si>
    <t>евро</t>
  </si>
  <si>
    <t>Atlas Copco, Dalgakiran</t>
  </si>
  <si>
    <t>Termovolt</t>
  </si>
  <si>
    <t>Универстрой</t>
  </si>
  <si>
    <t>Расчет объема ливневых стоков</t>
  </si>
  <si>
    <t>Площадь ЗУ</t>
  </si>
  <si>
    <t>Среднегодовое количество осадков, мм</t>
  </si>
  <si>
    <r>
      <t>Объем осадков в год, м</t>
    </r>
    <r>
      <rPr>
        <b/>
        <vertAlign val="superscript"/>
        <sz val="11"/>
        <color theme="1"/>
        <rFont val="Calibri (Основной текст)"/>
        <charset val="204"/>
      </rPr>
      <t>3</t>
    </r>
  </si>
  <si>
    <t>Доля озеленения</t>
  </si>
  <si>
    <t>Объем ливневых стоков, м3/год</t>
  </si>
  <si>
    <t>кв.м.</t>
  </si>
  <si>
    <t>Ср. объем ливневых стоков, м3/сут</t>
  </si>
  <si>
    <t>Ливневая канализация</t>
  </si>
  <si>
    <t>Биологические очистные</t>
  </si>
  <si>
    <t>Химические стоки</t>
  </si>
  <si>
    <t>Ливневая каналзиция</t>
  </si>
  <si>
    <r>
      <t>м</t>
    </r>
    <r>
      <rPr>
        <b/>
        <vertAlign val="superscript"/>
        <sz val="11"/>
        <color theme="1"/>
        <rFont val="Calibri (Основной текст)"/>
        <charset val="204"/>
      </rPr>
      <t>3</t>
    </r>
    <r>
      <rPr>
        <b/>
        <sz val="11"/>
        <color theme="1"/>
        <rFont val="Calibri"/>
        <family val="2"/>
        <charset val="204"/>
        <scheme val="minor"/>
      </rPr>
      <t>/сут</t>
    </r>
  </si>
  <si>
    <t>№пп</t>
  </si>
  <si>
    <t>Мероприятие</t>
  </si>
  <si>
    <t>Стоимость с НДС, руб</t>
  </si>
  <si>
    <t>Сроки, мес</t>
  </si>
  <si>
    <t>Расчетная часть</t>
  </si>
  <si>
    <t>Закачка отработанных вод 128 м3/час</t>
  </si>
  <si>
    <t>без экологии</t>
  </si>
  <si>
    <t>2019-22</t>
  </si>
  <si>
    <t>инфл</t>
  </si>
  <si>
    <t>Гидрогеологическое обоснование на новый участок недр</t>
  </si>
  <si>
    <t>Получение поисковой лицензии (сопровождение)</t>
  </si>
  <si>
    <t>на 5 лет</t>
  </si>
  <si>
    <t>Проект геолого-разведочных работ</t>
  </si>
  <si>
    <t>1.4</t>
  </si>
  <si>
    <t>Экспертиза проекта ГРР</t>
  </si>
  <si>
    <t>1.5</t>
  </si>
  <si>
    <t>Проект на бурение</t>
  </si>
  <si>
    <t>технический</t>
  </si>
  <si>
    <t>1.6</t>
  </si>
  <si>
    <t>без наблюдательных, 3 основных 1 резервная</t>
  </si>
  <si>
    <t>1.7</t>
  </si>
  <si>
    <t>Освоение скважин</t>
  </si>
  <si>
    <t>1.8</t>
  </si>
  <si>
    <t>Отчет о проведенных работах</t>
  </si>
  <si>
    <t>1.9</t>
  </si>
  <si>
    <t>Экспертиза Отчета</t>
  </si>
  <si>
    <t>1.10</t>
  </si>
  <si>
    <t>Проект опытно промышленной эксплуатации</t>
  </si>
  <si>
    <t>1.11</t>
  </si>
  <si>
    <t>Технический проект системы закачки</t>
  </si>
  <si>
    <t>1.12</t>
  </si>
  <si>
    <t>Отчет по ОПЭ</t>
  </si>
  <si>
    <t>1.13</t>
  </si>
  <si>
    <t>Экспертиза Отчета по ОПЭ</t>
  </si>
  <si>
    <t>1.14</t>
  </si>
  <si>
    <t>Получение эксплуатационной лицензии лицензии (сопровождение)</t>
  </si>
  <si>
    <t>на 20 лет</t>
  </si>
  <si>
    <t>1.15</t>
  </si>
  <si>
    <t>КТП, насосная, трубопроводы, подготовка воды</t>
  </si>
  <si>
    <t>Добыча технических вод 270 м3/час</t>
  </si>
  <si>
    <t>Получение совмещенной лицензии (сопровождение)</t>
  </si>
  <si>
    <t>Экспертиза проекта подсчета запасов</t>
  </si>
  <si>
    <t>2.5</t>
  </si>
  <si>
    <t>2.6</t>
  </si>
  <si>
    <t>2.7</t>
  </si>
  <si>
    <t>Глубинно-насосное оборудование</t>
  </si>
  <si>
    <t>НКТ-89мм, 2ЭЦВ 10-77-100нрк</t>
  </si>
  <si>
    <t>2.8</t>
  </si>
  <si>
    <t>Проект ЗСО</t>
  </si>
  <si>
    <t>2.9</t>
  </si>
  <si>
    <t>Экспертиза Проекта ЗСО</t>
  </si>
  <si>
    <t>2.10</t>
  </si>
  <si>
    <t>Проект водозаборных сооружений</t>
  </si>
  <si>
    <t>2.11</t>
  </si>
  <si>
    <t>Непредвиденные расходы</t>
  </si>
  <si>
    <t>1% от общих расходов</t>
  </si>
  <si>
    <t>Дополнительные условия</t>
  </si>
  <si>
    <t>Закачка возможна при условии подготовки сбрасываемой воды до параметров совместимости с пластовой водой и породами коллектра. При невозможности потребуется строительства КОС с глубокой степенью очистки мощностью 3100м3/сут. Указанный КОС должен входить в состав ЗЛК с этапа проектирования и позиционироваться как объект подготовки оборотной воды для возможности максимального вторичного использования водных ресурсов.</t>
  </si>
  <si>
    <t>Стоимость с НДС, руб/год</t>
  </si>
  <si>
    <t>сложность</t>
  </si>
  <si>
    <t>ГИС</t>
  </si>
  <si>
    <t>Экологический мониторинг закачки недр с ГИС</t>
  </si>
  <si>
    <t>Обработка скважин для обеспечения приемистости</t>
  </si>
  <si>
    <t>4 скв по 2 обработки в год</t>
  </si>
  <si>
    <t>ст бр КРС</t>
  </si>
  <si>
    <t>сут</t>
  </si>
  <si>
    <t>Текущий ремонт скважин</t>
  </si>
  <si>
    <t>Затраты на эл.энергию</t>
  </si>
  <si>
    <t>ЦНС(г) 105-490 3 шт по 250кВт</t>
  </si>
  <si>
    <t>Капитальный ремонт насосного оборудования</t>
  </si>
  <si>
    <t>ЦНС(г) 105-490 3 шт 1 рем в 6 лет</t>
  </si>
  <si>
    <t>Добыча техничеких вод 270 м3/час</t>
  </si>
  <si>
    <t>ХАЛ</t>
  </si>
  <si>
    <t>Экологический мониторинг добычи воды</t>
  </si>
  <si>
    <t>Водный налог</t>
  </si>
  <si>
    <t>348руб/1тыс.м3 воды (подз)</t>
  </si>
  <si>
    <t>Текущее обслуживание скважин</t>
  </si>
  <si>
    <t>Обеспечение закачки сточных вод (мониторинг, ГИС, ОПЗ, ТРС, капрем насосов)</t>
  </si>
  <si>
    <t>Обеспечение добычи подземных вод (мониторинг, водный налог, текущее обслуживание скв)</t>
  </si>
  <si>
    <t>Срок, мес</t>
  </si>
  <si>
    <t>Бурение поглощающих скважин 1 280 м</t>
  </si>
  <si>
    <t>Бурение водозаборных скважин 150 м</t>
  </si>
  <si>
    <t>Проект подсчета запасов</t>
  </si>
  <si>
    <t>Инфраструктура</t>
  </si>
  <si>
    <t>КТП, насосная, трубопроводы, накопители.     (2 000 м3)</t>
  </si>
  <si>
    <t>6.5</t>
  </si>
  <si>
    <t>6.6</t>
  </si>
  <si>
    <t>Скважины для закачки производственных стоков</t>
  </si>
  <si>
    <t>6.7</t>
  </si>
  <si>
    <t>Закачка в скважины</t>
  </si>
  <si>
    <t>Данные Заказчика</t>
  </si>
  <si>
    <t>4.3</t>
  </si>
  <si>
    <t>ТП 3,2КВА</t>
  </si>
  <si>
    <t>Котельная_фундамент</t>
  </si>
  <si>
    <r>
      <t>Площадь, м</t>
    </r>
    <r>
      <rPr>
        <b/>
        <vertAlign val="superscript"/>
        <sz val="11"/>
        <color theme="1"/>
        <rFont val="Calibri"/>
        <family val="2"/>
        <charset val="204"/>
        <scheme val="minor"/>
      </rPr>
      <t>2</t>
    </r>
  </si>
  <si>
    <t>Дороги (за 1 км)</t>
  </si>
  <si>
    <t>Парковка, 150 а/м</t>
  </si>
  <si>
    <t>6.8</t>
  </si>
  <si>
    <t>ГРШ</t>
  </si>
  <si>
    <t>Подведение эл/эн, км</t>
  </si>
  <si>
    <t>4.4</t>
  </si>
  <si>
    <t>Допущение</t>
  </si>
  <si>
    <t>6.9</t>
  </si>
  <si>
    <t>Очистные сооружения пром стоков</t>
  </si>
  <si>
    <t>ЛОС</t>
  </si>
  <si>
    <t>ОС хоз-быт стоков</t>
  </si>
  <si>
    <t>Enviro Chemie</t>
  </si>
  <si>
    <t>НПП «Завод Аквакрат»</t>
  </si>
  <si>
    <t>https://aquakrat.ru/products/lokalnye-ochistnye-sooruzheniya/ceny-na-los/?ysclid=lkmcx4stdk259295936</t>
  </si>
  <si>
    <t>Затраты на покупку оборудования для ЗГПЗ_ЛК</t>
  </si>
  <si>
    <t>Пакет, крафт, 25 кг</t>
  </si>
  <si>
    <t>https://russian.alibaba.com/p-detail/20-1600233039343.html?spm=a2700.7724857.0.0.7a434171j4OqMd</t>
  </si>
  <si>
    <t>AliBaba</t>
  </si>
  <si>
    <t>EnviroChemie</t>
  </si>
  <si>
    <t>Расходы на воду учтены в потреблении эл/эн плюс водный налог</t>
  </si>
  <si>
    <t>Гос. поддержка</t>
  </si>
  <si>
    <t>ст. 333.12 НК РФ</t>
  </si>
  <si>
    <t>руб/м3</t>
  </si>
  <si>
    <t>Объем производства ЛК, тн/год</t>
  </si>
  <si>
    <r>
      <t>м</t>
    </r>
    <r>
      <rPr>
        <vertAlign val="superscript"/>
        <sz val="11"/>
        <color theme="1"/>
        <rFont val="Calibri (Основной текст)"/>
        <charset val="204"/>
      </rPr>
      <t>3</t>
    </r>
    <r>
      <rPr>
        <sz val="11"/>
        <color theme="1"/>
        <rFont val="Calibri"/>
        <family val="2"/>
        <charset val="204"/>
        <scheme val="minor"/>
      </rPr>
      <t>/год</t>
    </r>
  </si>
  <si>
    <r>
      <t>ИТОГО м</t>
    </r>
    <r>
      <rPr>
        <b/>
        <vertAlign val="superscript"/>
        <sz val="11"/>
        <color theme="1"/>
        <rFont val="Calibri (Основной текст)"/>
        <charset val="204"/>
      </rPr>
      <t>3</t>
    </r>
    <r>
      <rPr>
        <b/>
        <sz val="11"/>
        <color theme="1"/>
        <rFont val="Calibri"/>
        <family val="2"/>
        <charset val="204"/>
        <scheme val="minor"/>
      </rPr>
      <t>/год</t>
    </r>
  </si>
  <si>
    <t>Затраты на корма</t>
  </si>
  <si>
    <t>Доход от кормов</t>
  </si>
  <si>
    <t>Калькуляция производства лимонной кислоты</t>
  </si>
  <si>
    <t>кВт.ч./год</t>
  </si>
  <si>
    <t>Производство ЛК</t>
  </si>
  <si>
    <t>Реализация ЛК</t>
  </si>
  <si>
    <t>Склад ЛК</t>
  </si>
  <si>
    <t>Производство КК</t>
  </si>
  <si>
    <t>Реализация КК</t>
  </si>
  <si>
    <t>Склад КК</t>
  </si>
  <si>
    <t>Производство мицелия</t>
  </si>
  <si>
    <t>Производство цитрогипса</t>
  </si>
  <si>
    <t>Цена ЛК</t>
  </si>
  <si>
    <t>Линия по пр-ву ЛК</t>
  </si>
  <si>
    <t>Очистные</t>
  </si>
  <si>
    <t>Водополготовка</t>
  </si>
  <si>
    <t>Цена кукурузы</t>
  </si>
  <si>
    <t>руб/тн без НДС c доставкой</t>
  </si>
  <si>
    <t>руб./тн</t>
  </si>
  <si>
    <t>Цена на лимонную кислоту, текущая</t>
  </si>
  <si>
    <t xml:space="preserve">Таможенная пошлина на ввоз ЛК в РФ </t>
  </si>
  <si>
    <t>Евро за 1 кг.                                Код ТН ВЭД 29 181 400</t>
  </si>
  <si>
    <t>Решение Совета Евразийской экономической комиссии  от 16 сентября 2021 г. N 79</t>
  </si>
  <si>
    <t>Цена в РФ</t>
  </si>
  <si>
    <t>ТП</t>
  </si>
  <si>
    <t>Наценка</t>
  </si>
  <si>
    <t>Цкитай</t>
  </si>
  <si>
    <t>Текущая Цена</t>
  </si>
  <si>
    <t>Пакет</t>
  </si>
  <si>
    <t>8.1</t>
  </si>
  <si>
    <t>8.2</t>
  </si>
  <si>
    <t>8.3</t>
  </si>
  <si>
    <t>8.4</t>
  </si>
  <si>
    <t>8.5</t>
  </si>
  <si>
    <t>13</t>
  </si>
  <si>
    <t>14</t>
  </si>
  <si>
    <t>15</t>
  </si>
  <si>
    <t>16</t>
  </si>
  <si>
    <t>17</t>
  </si>
  <si>
    <t>ЛК, руб/тн, текущая</t>
  </si>
  <si>
    <t>Источник цены кукурузы</t>
  </si>
  <si>
    <t>МСХ УО_2022 г.</t>
  </si>
  <si>
    <t>Закупочная цена для Астон_ июль 2023</t>
  </si>
  <si>
    <t>Расчет закупочной цены кукурузы для завода по производству ЛК в УО</t>
  </si>
  <si>
    <t>https://forkagro.com/monitoring/view/21?ysclid=lkmwtcpi92322547817</t>
  </si>
  <si>
    <t>Средня цена в расчет</t>
  </si>
  <si>
    <t>Вид доставки</t>
  </si>
  <si>
    <t>Фрахт_Контейнер 20 ft_Китай-РФ</t>
  </si>
  <si>
    <t>Доставка зерна до Завода</t>
  </si>
  <si>
    <t>Расценки на доставку СиМ и готовой продукции</t>
  </si>
  <si>
    <t>Доставка химикатов по РФ</t>
  </si>
  <si>
    <t>Цена,  руб.</t>
  </si>
  <si>
    <t>Биг-бэг, 25 кг</t>
  </si>
  <si>
    <t>Калькуляция производства побочных продуктов</t>
  </si>
  <si>
    <t>Объем производства продукта</t>
  </si>
  <si>
    <t>Кукурузный корм</t>
  </si>
  <si>
    <t>Мицелий</t>
  </si>
  <si>
    <t>Цитрогипс</t>
  </si>
  <si>
    <t>Объем пр-ва, тн/год</t>
  </si>
  <si>
    <t>Корма и цитрогипс</t>
  </si>
  <si>
    <t>Затраты на создание запасов кукурузы в объеме 30 000 тн.</t>
  </si>
  <si>
    <t>Расчет водного налога</t>
  </si>
  <si>
    <t>Сумма водного налога, тыс. руб.</t>
  </si>
  <si>
    <t>Объем добычи воды, м3/год</t>
  </si>
  <si>
    <t>Ставка водного налога, руб./м3</t>
  </si>
  <si>
    <t>Расчет затрат на ремонт зданий (резерв на замещение)</t>
  </si>
  <si>
    <t>Расчет амортизации</t>
  </si>
  <si>
    <t>Расчет тарифа на электроэнергию в Ульяновской области</t>
  </si>
  <si>
    <t>Расчет тарифа на природный газ в Ульяновской области</t>
  </si>
  <si>
    <t>22-3</t>
  </si>
  <si>
    <t>22-4</t>
  </si>
  <si>
    <t>Расчет водоотведения Проекта строительства ЗГПЗ_ЛК</t>
  </si>
  <si>
    <t>Расчет потребляемой воды на хозяйственно-питьевые нужды ЗГПЗ_ЛК</t>
  </si>
  <si>
    <t>Расчет потребления пара для технологических нужд ЗГПЗ_ЛК</t>
  </si>
  <si>
    <t>OPEX-1_Мат. затраты</t>
  </si>
  <si>
    <t>Хим. препараты</t>
  </si>
  <si>
    <t>OPEX-3_затраты на прочие продукты минус доход от их р-ции</t>
  </si>
  <si>
    <t>Курс ¥</t>
  </si>
  <si>
    <t>Среднее</t>
  </si>
  <si>
    <t>Анализ рынков готовой продукции</t>
  </si>
  <si>
    <t>Разработка проекта коллектора</t>
  </si>
  <si>
    <t>Предварительный расчет на сайте Главгосэкспертизы</t>
  </si>
  <si>
    <t>https://gge.ru/services/calculator/?ysclid=lkqgmst2q4695954889</t>
  </si>
  <si>
    <t>Прочие затраты (5% от вышеперечисленных)</t>
  </si>
  <si>
    <t>Оборудование  зданий</t>
  </si>
  <si>
    <t>Очистные пром стоков</t>
  </si>
  <si>
    <t>8.7</t>
  </si>
  <si>
    <t>Наружный газопровод, км.</t>
  </si>
  <si>
    <t>Канализационный коллектор (за 1 км)</t>
  </si>
  <si>
    <t>Сушка и упаковка побочных продуктов</t>
  </si>
  <si>
    <t>5-2_ЦГ'!A1</t>
  </si>
  <si>
    <t>Номенклатура и цены на готовую продукцию, без НДС</t>
  </si>
  <si>
    <t>Среднее за 2021-2023</t>
  </si>
  <si>
    <t>Таб.№16</t>
  </si>
  <si>
    <t>Таб №.</t>
  </si>
  <si>
    <t>20-1</t>
  </si>
  <si>
    <t>20-2</t>
  </si>
  <si>
    <t>Таб. №20-3</t>
  </si>
  <si>
    <t>Таб. №23</t>
  </si>
  <si>
    <t>Таб. №23-1</t>
  </si>
  <si>
    <t>23-2</t>
  </si>
  <si>
    <t>23-3</t>
  </si>
  <si>
    <t>Таб. №24</t>
  </si>
  <si>
    <t>24-1</t>
  </si>
  <si>
    <t>24-2</t>
  </si>
  <si>
    <t>24-5</t>
  </si>
  <si>
    <t>27</t>
  </si>
  <si>
    <t>Таб.№28</t>
  </si>
  <si>
    <t>28-1</t>
  </si>
  <si>
    <t>Таб.№28-2</t>
  </si>
  <si>
    <t>Таб. №29</t>
  </si>
  <si>
    <t>МСХ УО и Forkago</t>
  </si>
  <si>
    <t>С</t>
  </si>
  <si>
    <t>Средняя Цена ЛК за 2021-2023 гг.</t>
  </si>
  <si>
    <t>Цена на лимонную кислоту, средняя за 2021-2023</t>
  </si>
  <si>
    <t>ЛК, руб/тн, средняя за 2021-2023</t>
  </si>
  <si>
    <t>РЕЗЮМЕ финансового моделирования инвестиционного проекта по строительству завода по производству лимонной кислоты мощностью 20 000 тн в год в РФ</t>
  </si>
  <si>
    <t>Предварительный прогноз основных оперативных затрат при эксплуатации ЗЛК по системе водоснабжения и утилизации воды</t>
  </si>
  <si>
    <t>Предварительный прогноз капитальных вложений в строительство ЗЛК по системе водоснабжения и утилизации воды</t>
  </si>
  <si>
    <t>Средняя зарплата  Заказчика</t>
  </si>
  <si>
    <t>Расчет потребления газа для нужд Завода по производству ЛК</t>
  </si>
  <si>
    <t>Расчет потребления газа для зерносклада  Проекта</t>
  </si>
  <si>
    <t>Расчет водопотребления Проекта_ГПЗ_ЛК_Кукуруза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</si>
</sst>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7">
    <numFmt numFmtId="5" formatCode="#,##0\ &quot;₽&quot;;\-#,##0\ &quot;₽&quot;"/>
    <numFmt numFmtId="42" formatCode="_-* #,##0\ &quot;₽&quot;_-;\-* #,##0\ &quot;₽&quot;_-;_-* &quot;-&quot;\ &quot;₽&quot;_-;_-@_-"/>
    <numFmt numFmtId="43" formatCode="_-* #,##0.00\ _₽_-;\-* #,##0.00\ _₽_-;_-* &quot;-&quot;??\ _₽_-;_-@_-"/>
    <numFmt numFmtId="164" formatCode="#,##0&quot;р.&quot;;[Red]\-#,##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%"/>
    <numFmt numFmtId="170" formatCode="_-* #,##0.00_-;\-* #,##0.00_-;_-* &quot;-&quot;??_-;_-@_-"/>
    <numFmt numFmtId="171" formatCode="#,##0.00;[Red]\-#,##0.00"/>
    <numFmt numFmtId="172" formatCode="_-* #,##0.00_р_._-;\-* #,##0.00_р_._-;_-* \-??_р_._-;_-@_-"/>
    <numFmt numFmtId="173" formatCode="0.000"/>
    <numFmt numFmtId="174" formatCode="0.00;0;"/>
    <numFmt numFmtId="175" formatCode="_(* #,##0_);_(* \(#,##0\);_(* &quot;-&quot;??_);_(@_)"/>
    <numFmt numFmtId="176" formatCode="#,##0;[Red]#,##0"/>
    <numFmt numFmtId="177" formatCode="&quot;\&quot;#,##0;[Red]\-&quot;\&quot;#,##0"/>
    <numFmt numFmtId="178" formatCode="\£#,##0_);\(\£#,##0\)"/>
    <numFmt numFmtId="179" formatCode="_(* #,##0.00_);[Red]_(* \(#,##0.00\);_(* &quot;-&quot;??_);_(@_)"/>
    <numFmt numFmtId="180" formatCode="&quot;р.&quot;#,##0\ ;\(&quot;р.&quot;#,##0\)"/>
    <numFmt numFmtId="181" formatCode="0.0\x"/>
    <numFmt numFmtId="182" formatCode="_-* #,##0.00[$€-1]_-;\-* #,##0.00[$€-1]_-;_-* &quot;-&quot;??[$€-1]_-"/>
    <numFmt numFmtId="183" formatCode="_-* #,##0\ _F_B_-;\-* #,##0\ _F_B_-;_-* &quot;-&quot;\ _F_B_-;_-@_-"/>
    <numFmt numFmtId="184" formatCode="_-* #,##0.00\ _F_B_-;\-* #,##0.00\ _F_B_-;_-* &quot;-&quot;??\ _F_B_-;_-@_-"/>
    <numFmt numFmtId="185" formatCode="#,##0.0_);[Red]\(#,##0.0\)"/>
    <numFmt numFmtId="186" formatCode="_-* #,##0_-;_-* #,##0\-;_-* &quot;-&quot;_-;_-@_-"/>
    <numFmt numFmtId="187" formatCode="_-* #,##0.00_-;_-* #,##0.00\-;_-* &quot;-&quot;??_-;_-@_-"/>
    <numFmt numFmtId="188" formatCode="_-* #,##0\ _$_-;\-* #,##0\ _$_-;_-* &quot;-&quot;\ _$_-;_-@_-"/>
    <numFmt numFmtId="189" formatCode="_-* #,##0.00\ _$_-;\-* #,##0.00\ _$_-;_-* &quot;-&quot;??\ _$_-;_-@_-"/>
    <numFmt numFmtId="190" formatCode="_-* #,##0\ &quot;р.&quot;_-;\-* #,##0\ &quot;р.&quot;_-;_-* &quot;-&quot;\ &quot;р.&quot;_-;_-@_-"/>
    <numFmt numFmtId="191" formatCode="_-* #,##0.00\ &quot;р.&quot;_-;\-* #,##0.00\ &quot;р.&quot;_-;_-* &quot;-&quot;??\ &quot;р.&quot;_-;_-@_-"/>
    <numFmt numFmtId="192" formatCode="_(* #,##0.000_);[Red]_(* \(#,##0.000\);_(* &quot;-&quot;??_);_(@_)"/>
    <numFmt numFmtId="193" formatCode="&quot;р.&quot;#,##0.0_);\(&quot;р.&quot;#,##0.0\)"/>
    <numFmt numFmtId="194" formatCode="0.00\x"/>
    <numFmt numFmtId="195" formatCode="0.0000"/>
    <numFmt numFmtId="196" formatCode="_-* #,##0\ &quot;FB&quot;_-;\-* #,##0\ &quot;FB&quot;_-;_-* &quot;-&quot;\ &quot;FB&quot;_-;_-@_-"/>
    <numFmt numFmtId="197" formatCode="_-* #,##0.00\ &quot;FB&quot;_-;\-* #,##0.00\ &quot;FB&quot;_-;_-* &quot;-&quot;??\ &quot;FB&quot;_-;_-@_-"/>
    <numFmt numFmtId="198" formatCode="_-&quot;F&quot;\ * #,##0_-;_-&quot;F&quot;\ * #,##0\-;_-&quot;F&quot;\ * &quot;-&quot;_-;_-@_-"/>
    <numFmt numFmtId="199" formatCode="_-&quot;F&quot;\ * #,##0.00_-;_-&quot;F&quot;\ * #,##0.00\-;_-&quot;F&quot;\ * &quot;-&quot;??_-;_-@_-"/>
    <numFmt numFmtId="200" formatCode="\¥#,##0_);\(\¥#,##0\)"/>
    <numFmt numFmtId="201" formatCode="_ * #,##0_ ;_ * \-#,##0_ ;_ * &quot;-&quot;_ ;_ @_ "/>
    <numFmt numFmtId="202" formatCode="_ * #,##0_ ;_ * \(#,##0\);_ * &quot;-&quot;_ ;_ @_ "/>
    <numFmt numFmtId="203" formatCode="_ * #,##0_ ;[Red]_ * \-#,##0_ ;_ * &quot;-&quot;_ ;_ @_ "/>
    <numFmt numFmtId="204" formatCode="#,##0.0"/>
    <numFmt numFmtId="205" formatCode="d/m/yy;@"/>
    <numFmt numFmtId="206" formatCode="#,##0_ ;\-#,##0\ "/>
    <numFmt numFmtId="207" formatCode="0.0"/>
    <numFmt numFmtId="208" formatCode="#,##0_ ;[Red]\-#,##0\ "/>
    <numFmt numFmtId="209" formatCode="_-[$€-2]\ * #,##0_-;\-[$€-2]\ * #,##0_-;_-[$€-2]\ * &quot;-&quot;_-;_-@_-"/>
    <numFmt numFmtId="210" formatCode="#,##0.00_ ;\-#,##0.00\ "/>
    <numFmt numFmtId="211" formatCode="#,##0.0\ &quot;₽&quot;"/>
    <numFmt numFmtId="212" formatCode="#,##0.00\ &quot;₽&quot;"/>
    <numFmt numFmtId="213" formatCode="dd/mm/yy;@"/>
    <numFmt numFmtId="214" formatCode="0.00000"/>
    <numFmt numFmtId="215" formatCode="[$¥-804]#,##0;[$¥-804]\-#,##0"/>
    <numFmt numFmtId="216" formatCode="[$$-C09]#,##0;\-[$$-C09]#,##0"/>
    <numFmt numFmtId="217" formatCode="#,##0\ _₽"/>
  </numFmts>
  <fonts count="20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Unicode MS"/>
      <family val="2"/>
    </font>
    <font>
      <sz val="10"/>
      <name val="Arial"/>
      <family val="2"/>
      <charset val="1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  <charset val="204"/>
    </font>
    <font>
      <sz val="12"/>
      <name val="Arial"/>
      <family val="2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0"/>
      <name val="Book Antiqua"/>
      <family val="1"/>
      <charset val="204"/>
    </font>
    <font>
      <sz val="10"/>
      <name val="Helv"/>
    </font>
    <font>
      <sz val="10"/>
      <name val="Helv"/>
      <charset val="204"/>
    </font>
    <font>
      <sz val="10"/>
      <name val="Arial Cyr"/>
    </font>
    <font>
      <b/>
      <i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name val="Helv"/>
      <charset val="204"/>
    </font>
    <font>
      <sz val="12"/>
      <name val="Times New Roman"/>
      <family val="1"/>
      <charset val="204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b/>
      <sz val="12"/>
      <name val="Times New Roman"/>
      <family val="1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sz val="10"/>
      <name val="Tms Rmn"/>
    </font>
    <font>
      <u val="doubleAccounting"/>
      <sz val="10"/>
      <name val="Arial"/>
      <family val="2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sz val="12"/>
      <name val="Arial Black"/>
      <family val="2"/>
    </font>
    <font>
      <sz val="11"/>
      <name val="Arial Black"/>
      <family val="2"/>
    </font>
    <font>
      <i/>
      <sz val="14"/>
      <name val="Palatino"/>
      <family val="1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Times New Roman Cyr"/>
    </font>
    <font>
      <sz val="12"/>
      <name val="Times New Roman"/>
      <family val="1"/>
    </font>
    <font>
      <sz val="7"/>
      <name val="Small Fonts"/>
      <family val="2"/>
      <charset val="204"/>
    </font>
    <font>
      <sz val="10"/>
      <name val="Times New Roman CE"/>
      <family val="1"/>
      <charset val="238"/>
    </font>
    <font>
      <sz val="10"/>
      <name val="Palatino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sz val="10"/>
      <color indexed="10"/>
      <name val="Times New Roman"/>
      <family val="1"/>
    </font>
    <font>
      <sz val="9.5"/>
      <color indexed="23"/>
      <name val="Helvetica-Black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b/>
      <i/>
      <sz val="20"/>
      <name val="Arial"/>
      <family val="2"/>
      <charset val="204"/>
    </font>
    <font>
      <u/>
      <sz val="8"/>
      <color indexed="8"/>
      <name val="Arial"/>
      <family val="2"/>
    </font>
    <font>
      <b/>
      <i/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 Cyr"/>
      <charset val="204"/>
    </font>
    <font>
      <sz val="11"/>
      <color indexed="10"/>
      <name val="Calibri"/>
      <family val="2"/>
      <charset val="204"/>
    </font>
    <font>
      <sz val="11"/>
      <color indexed="52"/>
      <name val="Calibri"/>
      <family val="2"/>
      <charset val="204"/>
    </font>
    <font>
      <sz val="8"/>
      <color indexed="8"/>
      <name val="Arial"/>
      <family val="2"/>
    </font>
    <font>
      <sz val="10"/>
      <color indexed="8"/>
      <name val="Tahoma"/>
      <family val="2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7"/>
      <color indexed="8"/>
      <name val="Arial"/>
      <family val="2"/>
      <charset val="204"/>
    </font>
    <font>
      <sz val="7"/>
      <color rgb="FF000000"/>
      <name val="Arial"/>
      <family val="2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9"/>
      <color indexed="8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name val="ＭＳ Ｐゴシック"/>
      <family val="2"/>
      <charset val="128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vertAlign val="subscript"/>
      <sz val="10"/>
      <color theme="1"/>
      <name val="Arial"/>
      <family val="2"/>
      <charset val="204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 (Основной текст)"/>
      <charset val="204"/>
    </font>
    <font>
      <sz val="10"/>
      <color rgb="FF000000"/>
      <name val="Tahoma"/>
      <family val="2"/>
      <charset val="204"/>
    </font>
    <font>
      <b/>
      <sz val="11"/>
      <color theme="1"/>
      <name val="Calibri"/>
      <family val="2"/>
      <scheme val="minor"/>
    </font>
    <font>
      <b/>
      <sz val="10"/>
      <color rgb="FF000000"/>
      <name val="Tahoma"/>
      <family val="2"/>
      <charset val="204"/>
    </font>
    <font>
      <b/>
      <vertAlign val="superscript"/>
      <sz val="11"/>
      <color theme="1"/>
      <name val="Calibri (Основной текст)"/>
      <charset val="204"/>
    </font>
    <font>
      <u/>
      <sz val="12"/>
      <color theme="10"/>
      <name val="Calibri"/>
      <family val="2"/>
      <charset val="204"/>
      <scheme val="minor"/>
    </font>
    <font>
      <vertAlign val="superscript"/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5"/>
      <color theme="1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10.5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rgb="FF000000"/>
      <name val="Tahoma"/>
      <family val="2"/>
      <charset val="204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sz val="12"/>
      <name val="Arial Cyr"/>
      <family val="2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u/>
      <sz val="10"/>
      <color theme="10"/>
      <name val="Arial"/>
      <family val="2"/>
    </font>
    <font>
      <sz val="10"/>
      <color rgb="FF000000"/>
      <name val="Calibri"/>
      <family val="2"/>
      <scheme val="minor"/>
    </font>
    <font>
      <sz val="12"/>
      <color theme="1"/>
      <name val="Arial"/>
      <family val="2"/>
      <charset val="204"/>
    </font>
    <font>
      <b/>
      <vertAlign val="superscript"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lightGray">
        <fgColor indexed="15"/>
      </patternFill>
    </fill>
    <fill>
      <patternFill patternType="solid">
        <fgColor indexed="24"/>
      </patternFill>
    </fill>
    <fill>
      <patternFill patternType="solid">
        <fgColor indexed="13"/>
      </patternFill>
    </fill>
    <fill>
      <patternFill patternType="solid">
        <fgColor indexed="22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17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2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3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EDB6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E2C1"/>
        <bgColor indexed="64"/>
      </patternFill>
    </fill>
    <fill>
      <patternFill patternType="solid">
        <fgColor rgb="FF679CD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5"/>
      </left>
      <right/>
      <top/>
      <bottom/>
      <diagonal/>
    </border>
  </borders>
  <cellStyleXfs count="411">
    <xf numFmtId="0" fontId="0" fillId="0" borderId="0"/>
    <xf numFmtId="0" fontId="14" fillId="0" borderId="0"/>
    <xf numFmtId="9" fontId="15" fillId="0" borderId="0" applyFont="0" applyFill="0" applyBorder="0" applyAlignment="0" applyProtection="0"/>
    <xf numFmtId="0" fontId="15" fillId="0" borderId="0"/>
    <xf numFmtId="170" fontId="15" fillId="0" borderId="0" applyFont="0" applyFill="0" applyBorder="0" applyAlignment="0" applyProtection="0"/>
    <xf numFmtId="171" fontId="19" fillId="0" borderId="0" applyFill="0" applyBorder="0" applyAlignment="0" applyProtection="0"/>
    <xf numFmtId="172" fontId="19" fillId="0" borderId="0" applyFill="0" applyBorder="0" applyAlignment="0" applyProtection="0"/>
    <xf numFmtId="0" fontId="20" fillId="0" borderId="0"/>
    <xf numFmtId="9" fontId="19" fillId="0" borderId="0" applyFill="0" applyBorder="0" applyAlignment="0" applyProtection="0"/>
    <xf numFmtId="0" fontId="21" fillId="0" borderId="0" applyNumberFormat="0" applyFont="0" applyFill="0" applyBorder="0" applyAlignment="0" applyProtection="0">
      <alignment horizontal="left"/>
    </xf>
    <xf numFmtId="0" fontId="20" fillId="0" borderId="0"/>
    <xf numFmtId="0" fontId="11" fillId="0" borderId="0"/>
    <xf numFmtId="9" fontId="15" fillId="0" borderId="0" applyFill="0" applyBorder="0" applyAlignment="0" applyProtection="0"/>
    <xf numFmtId="0" fontId="23" fillId="0" borderId="0"/>
    <xf numFmtId="9" fontId="16" fillId="0" borderId="0" applyFont="0" applyFill="0" applyBorder="0" applyAlignment="0" applyProtection="0"/>
    <xf numFmtId="0" fontId="14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168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5" fillId="0" borderId="0"/>
    <xf numFmtId="0" fontId="14" fillId="0" borderId="0"/>
    <xf numFmtId="0" fontId="11" fillId="0" borderId="0"/>
    <xf numFmtId="9" fontId="11" fillId="0" borderId="0" applyFont="0" applyFill="0" applyBorder="0" applyAlignment="0" applyProtection="0"/>
    <xf numFmtId="0" fontId="33" fillId="0" borderId="0" applyFont="0" applyFill="0" applyBorder="0" applyAlignment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34" fillId="0" borderId="0"/>
    <xf numFmtId="0" fontId="35" fillId="0" borderId="0"/>
    <xf numFmtId="174" fontId="36" fillId="0" borderId="0">
      <alignment horizontal="center"/>
    </xf>
    <xf numFmtId="0" fontId="21" fillId="11" borderId="0"/>
    <xf numFmtId="0" fontId="37" fillId="12" borderId="7" applyNumberFormat="0" applyFill="0" applyBorder="0" applyAlignment="0">
      <alignment horizontal="left"/>
    </xf>
    <xf numFmtId="0" fontId="26" fillId="12" borderId="0" applyNumberFormat="0" applyFill="0" applyBorder="0" applyAlignment="0"/>
    <xf numFmtId="0" fontId="38" fillId="13" borderId="7" applyNumberFormat="0" applyFill="0" applyBorder="0" applyAlignment="0">
      <alignment horizontal="left"/>
    </xf>
    <xf numFmtId="0" fontId="39" fillId="14" borderId="0" applyNumberFormat="0" applyFill="0" applyBorder="0" applyAlignment="0"/>
    <xf numFmtId="0" fontId="40" fillId="0" borderId="0" applyNumberFormat="0" applyFill="0" applyBorder="0" applyAlignment="0"/>
    <xf numFmtId="0" fontId="41" fillId="0" borderId="4" applyNumberFormat="0" applyFill="0" applyBorder="0" applyAlignment="0">
      <alignment horizontal="left"/>
    </xf>
    <xf numFmtId="0" fontId="42" fillId="4" borderId="3" applyNumberFormat="0" applyFill="0" applyBorder="0" applyAlignment="0">
      <alignment horizontal="centerContinuous"/>
    </xf>
    <xf numFmtId="0" fontId="43" fillId="0" borderId="0" applyNumberFormat="0" applyFill="0" applyBorder="0" applyAlignment="0"/>
    <xf numFmtId="0" fontId="43" fillId="15" borderId="6" applyNumberFormat="0" applyFill="0" applyBorder="0" applyAlignment="0"/>
    <xf numFmtId="0" fontId="44" fillId="0" borderId="4" applyNumberFormat="0" applyFill="0" applyBorder="0" applyAlignment="0"/>
    <xf numFmtId="0" fontId="43" fillId="0" borderId="0" applyNumberFormat="0" applyFill="0" applyBorder="0" applyAlignment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0" borderId="0" applyNumberFormat="0" applyBorder="0" applyAlignment="0" applyProtection="0"/>
    <xf numFmtId="0" fontId="45" fillId="22" borderId="0" applyNumberFormat="0" applyBorder="0" applyAlignment="0" applyProtection="0"/>
    <xf numFmtId="0" fontId="45" fillId="24" borderId="0" applyNumberFormat="0" applyBorder="0" applyAlignment="0" applyProtection="0"/>
    <xf numFmtId="0" fontId="45" fillId="16" borderId="0" applyNumberFormat="0" applyBorder="0" applyAlignment="0" applyProtection="0"/>
    <xf numFmtId="0" fontId="45" fillId="18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19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7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18" borderId="0" applyNumberFormat="0" applyBorder="0" applyAlignment="0" applyProtection="0"/>
    <xf numFmtId="0" fontId="46" fillId="27" borderId="0" applyNumberFormat="0" applyBorder="0" applyAlignment="0" applyProtection="0"/>
    <xf numFmtId="0" fontId="46" fillId="26" borderId="0" applyNumberFormat="0" applyBorder="0" applyAlignment="0" applyProtection="0"/>
    <xf numFmtId="0" fontId="46" fillId="19" borderId="0" applyNumberFormat="0" applyBorder="0" applyAlignment="0" applyProtection="0"/>
    <xf numFmtId="0" fontId="46" fillId="30" borderId="0" applyNumberFormat="0" applyBorder="0" applyAlignment="0" applyProtection="0"/>
    <xf numFmtId="0" fontId="46" fillId="24" borderId="0" applyNumberFormat="0" applyBorder="0" applyAlignment="0" applyProtection="0"/>
    <xf numFmtId="0" fontId="46" fillId="31" borderId="0" applyNumberFormat="0" applyBorder="0" applyAlignment="0" applyProtection="0"/>
    <xf numFmtId="0" fontId="46" fillId="18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>
      <alignment horizontal="right"/>
    </xf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5" fontId="15" fillId="0" borderId="0" applyFont="0" applyFill="0" applyBorder="0" applyProtection="0"/>
    <xf numFmtId="175" fontId="15" fillId="0" borderId="0" applyFont="0" applyFill="0" applyBorder="0" applyProtection="0"/>
    <xf numFmtId="176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0" fontId="14" fillId="0" borderId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8" fontId="50" fillId="0" borderId="0" applyNumberFormat="0" applyFill="0" applyBorder="0" applyAlignment="0" applyProtection="0">
      <alignment horizontal="right"/>
      <protection locked="0"/>
    </xf>
    <xf numFmtId="0" fontId="51" fillId="0" borderId="0" applyNumberFormat="0" applyFill="0" applyBorder="0" applyAlignment="0" applyProtection="0"/>
    <xf numFmtId="178" fontId="52" fillId="0" borderId="0" applyFont="0" applyFill="0" applyBorder="0" applyAlignment="0" applyProtection="0"/>
    <xf numFmtId="0" fontId="53" fillId="0" borderId="0"/>
    <xf numFmtId="0" fontId="15" fillId="33" borderId="0" applyNumberFormat="0" applyFont="0" applyBorder="0" applyAlignment="0"/>
    <xf numFmtId="0" fontId="15" fillId="33" borderId="0" applyNumberFormat="0" applyFont="0" applyBorder="0" applyAlignment="0"/>
    <xf numFmtId="0" fontId="54" fillId="0" borderId="6" applyNumberFormat="0" applyFont="0" applyFill="0" applyProtection="0">
      <alignment horizontal="centerContinuous" vertical="center"/>
    </xf>
    <xf numFmtId="0" fontId="29" fillId="5" borderId="0" applyNumberFormat="0" applyFont="0" applyBorder="0" applyAlignment="0" applyProtection="0"/>
    <xf numFmtId="0" fontId="54" fillId="0" borderId="0" applyNumberFormat="0" applyFill="0" applyBorder="0" applyProtection="0">
      <alignment horizontal="center" vertical="center"/>
    </xf>
    <xf numFmtId="0" fontId="55" fillId="0" borderId="0" applyFont="0" applyFill="0" applyBorder="0" applyAlignment="0" applyProtection="0"/>
    <xf numFmtId="0" fontId="56" fillId="0" borderId="0" applyFont="0" applyFill="0" applyBorder="0" applyAlignment="0" applyProtection="0">
      <alignment horizontal="right"/>
    </xf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>
      <alignment horizontal="right"/>
    </xf>
    <xf numFmtId="168" fontId="29" fillId="0" borderId="0" applyFont="0" applyFill="0" applyBorder="0" applyAlignment="0" applyProtection="0"/>
    <xf numFmtId="3" fontId="57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56" fillId="0" borderId="0" applyFont="0" applyFill="0" applyBorder="0" applyAlignment="0" applyProtection="0">
      <alignment horizontal="right"/>
    </xf>
    <xf numFmtId="0" fontId="56" fillId="0" borderId="0" applyFont="0" applyFill="0" applyBorder="0" applyAlignment="0" applyProtection="0">
      <alignment horizontal="right"/>
    </xf>
    <xf numFmtId="180" fontId="57" fillId="0" borderId="0" applyFont="0" applyFill="0" applyBorder="0" applyAlignment="0" applyProtection="0"/>
    <xf numFmtId="14" fontId="58" fillId="0" borderId="0"/>
    <xf numFmtId="0" fontId="56" fillId="0" borderId="0" applyFont="0" applyFill="0" applyBorder="0" applyAlignment="0" applyProtection="0"/>
    <xf numFmtId="0" fontId="57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18" fillId="34" borderId="0" applyNumberFormat="0">
      <alignment horizontal="left"/>
    </xf>
    <xf numFmtId="0" fontId="18" fillId="35" borderId="0" applyNumberFormat="0">
      <alignment horizontal="left"/>
    </xf>
    <xf numFmtId="0" fontId="18" fillId="36" borderId="0" applyNumberFormat="0">
      <alignment horizontal="left"/>
    </xf>
    <xf numFmtId="0" fontId="18" fillId="17" borderId="0" applyNumberFormat="0">
      <alignment horizontal="left"/>
    </xf>
    <xf numFmtId="0" fontId="18" fillId="37" borderId="0" applyNumberFormat="0">
      <alignment horizontal="left"/>
    </xf>
    <xf numFmtId="0" fontId="18" fillId="26" borderId="0" applyNumberFormat="0">
      <alignment horizontal="left"/>
    </xf>
    <xf numFmtId="181" fontId="33" fillId="0" borderId="0" applyFont="0" applyFill="0" applyBorder="0" applyAlignment="0" applyProtection="0"/>
    <xf numFmtId="0" fontId="56" fillId="0" borderId="8" applyNumberFormat="0" applyFont="0" applyFill="0" applyAlignment="0" applyProtection="0"/>
    <xf numFmtId="0" fontId="59" fillId="0" borderId="0" applyFill="0" applyBorder="0" applyAlignment="0" applyProtection="0"/>
    <xf numFmtId="182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2" fontId="57" fillId="0" borderId="0" applyFont="0" applyFill="0" applyBorder="0" applyAlignment="0" applyProtection="0"/>
    <xf numFmtId="15" fontId="15" fillId="0" borderId="0">
      <alignment vertical="center"/>
    </xf>
    <xf numFmtId="15" fontId="15" fillId="0" borderId="0">
      <alignment vertical="center"/>
    </xf>
    <xf numFmtId="0" fontId="60" fillId="0" borderId="0" applyFill="0" applyBorder="0" applyProtection="0">
      <alignment horizontal="left"/>
    </xf>
    <xf numFmtId="168" fontId="61" fillId="0" borderId="0" applyNumberFormat="0" applyFill="0" applyBorder="0" applyAlignment="0" applyProtection="0">
      <alignment horizontal="center"/>
    </xf>
    <xf numFmtId="0" fontId="56" fillId="0" borderId="0" applyFont="0" applyFill="0" applyBorder="0" applyAlignment="0" applyProtection="0">
      <alignment horizontal="right"/>
    </xf>
    <xf numFmtId="0" fontId="62" fillId="0" borderId="0" applyProtection="0">
      <alignment horizontal="right"/>
    </xf>
    <xf numFmtId="0" fontId="18" fillId="0" borderId="2" applyNumberFormat="0" applyAlignment="0" applyProtection="0">
      <alignment horizontal="left" vertical="center"/>
    </xf>
    <xf numFmtId="0" fontId="18" fillId="0" borderId="7">
      <alignment horizontal="left" vertical="center"/>
    </xf>
    <xf numFmtId="0" fontId="63" fillId="0" borderId="0">
      <alignment horizontal="center"/>
    </xf>
    <xf numFmtId="38" fontId="64" fillId="0" borderId="0"/>
    <xf numFmtId="38" fontId="65" fillId="0" borderId="0">
      <alignment horizontal="left"/>
    </xf>
    <xf numFmtId="0" fontId="66" fillId="0" borderId="0" applyProtection="0">
      <alignment horizontal="left"/>
    </xf>
    <xf numFmtId="0" fontId="67" fillId="0" borderId="9" applyNumberFormat="0" applyFill="0" applyBorder="0" applyAlignment="0" applyProtection="0">
      <alignment horizontal="left"/>
    </xf>
    <xf numFmtId="185" fontId="68" fillId="3" borderId="0" applyNumberFormat="0" applyBorder="0" applyAlignment="0" applyProtection="0">
      <protection locked="0"/>
    </xf>
    <xf numFmtId="0" fontId="69" fillId="0" borderId="0"/>
    <xf numFmtId="0" fontId="15" fillId="0" borderId="0"/>
    <xf numFmtId="0" fontId="15" fillId="35" borderId="0" applyNumberFormat="0" applyFont="0" applyBorder="0" applyAlignment="0"/>
    <xf numFmtId="0" fontId="15" fillId="35" borderId="0" applyNumberFormat="0" applyFont="0" applyBorder="0" applyAlignment="0"/>
    <xf numFmtId="186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2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4" fontId="33" fillId="0" borderId="0" applyFont="0" applyFill="0" applyBorder="0" applyAlignment="0" applyProtection="0"/>
    <xf numFmtId="181" fontId="70" fillId="0" borderId="0" applyFont="0" applyFill="0" applyBorder="0" applyAlignment="0" applyProtection="0"/>
    <xf numFmtId="37" fontId="71" fillId="0" borderId="0"/>
    <xf numFmtId="0" fontId="72" fillId="0" borderId="0"/>
    <xf numFmtId="0" fontId="21" fillId="0" borderId="10"/>
    <xf numFmtId="195" fontId="33" fillId="0" borderId="0"/>
    <xf numFmtId="0" fontId="72" fillId="0" borderId="0"/>
    <xf numFmtId="0" fontId="29" fillId="0" borderId="0"/>
    <xf numFmtId="0" fontId="73" fillId="0" borderId="0"/>
    <xf numFmtId="40" fontId="74" fillId="38" borderId="0">
      <alignment horizontal="right"/>
    </xf>
    <xf numFmtId="0" fontId="75" fillId="35" borderId="0">
      <alignment horizontal="center"/>
    </xf>
    <xf numFmtId="0" fontId="76" fillId="39" borderId="0"/>
    <xf numFmtId="0" fontId="77" fillId="38" borderId="0" applyBorder="0">
      <alignment horizontal="centerContinuous"/>
    </xf>
    <xf numFmtId="0" fontId="78" fillId="39" borderId="0" applyBorder="0">
      <alignment horizontal="centerContinuous"/>
    </xf>
    <xf numFmtId="0" fontId="18" fillId="0" borderId="0" applyNumberFormat="0" applyFill="0" applyBorder="0" applyAlignment="0" applyProtection="0"/>
    <xf numFmtId="196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" fontId="79" fillId="0" borderId="0" applyProtection="0">
      <alignment horizontal="right" vertical="center"/>
    </xf>
    <xf numFmtId="196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80" fillId="0" borderId="0" applyNumberFormat="0" applyFill="0" applyBorder="0" applyAlignment="0" applyProtection="0">
      <alignment horizontal="left"/>
      <protection locked="0"/>
    </xf>
    <xf numFmtId="0" fontId="81" fillId="0" borderId="11">
      <alignment vertical="center"/>
    </xf>
    <xf numFmtId="0" fontId="58" fillId="0" borderId="12"/>
    <xf numFmtId="0" fontId="52" fillId="0" borderId="0" applyFill="0" applyBorder="0" applyAlignment="0" applyProtection="0"/>
    <xf numFmtId="0" fontId="47" fillId="0" borderId="0" applyNumberFormat="0" applyFill="0" applyBorder="0" applyAlignment="0" applyProtection="0">
      <alignment horizontal="center"/>
    </xf>
    <xf numFmtId="0" fontId="82" fillId="0" borderId="0"/>
    <xf numFmtId="0" fontId="83" fillId="0" borderId="0" applyBorder="0" applyProtection="0">
      <alignment vertical="center"/>
    </xf>
    <xf numFmtId="0" fontId="83" fillId="0" borderId="6" applyBorder="0" applyProtection="0">
      <alignment horizontal="right" vertical="center"/>
    </xf>
    <xf numFmtId="0" fontId="84" fillId="40" borderId="0" applyBorder="0" applyProtection="0">
      <alignment horizontal="centerContinuous" vertical="center"/>
    </xf>
    <xf numFmtId="0" fontId="84" fillId="41" borderId="6" applyBorder="0" applyProtection="0">
      <alignment horizontal="centerContinuous" vertical="center"/>
    </xf>
    <xf numFmtId="0" fontId="85" fillId="0" borderId="0"/>
    <xf numFmtId="0" fontId="73" fillId="0" borderId="0"/>
    <xf numFmtId="0" fontId="86" fillId="0" borderId="0" applyFill="0" applyBorder="0" applyProtection="0">
      <alignment horizontal="left"/>
    </xf>
    <xf numFmtId="0" fontId="60" fillId="0" borderId="13" applyFill="0" applyBorder="0" applyProtection="0">
      <alignment horizontal="left" vertical="top"/>
    </xf>
    <xf numFmtId="0" fontId="87" fillId="0" borderId="0">
      <alignment horizontal="centerContinuous"/>
    </xf>
    <xf numFmtId="0" fontId="14" fillId="20" borderId="0" applyNumberFormat="0" applyBorder="0"/>
    <xf numFmtId="0" fontId="17" fillId="34" borderId="0" applyNumberFormat="0" applyBorder="0">
      <alignment horizontal="center" wrapText="1"/>
    </xf>
    <xf numFmtId="0" fontId="14" fillId="25" borderId="0" applyNumberFormat="0" applyBorder="0">
      <protection locked="0"/>
    </xf>
    <xf numFmtId="0" fontId="17" fillId="35" borderId="0" applyNumberFormat="0" applyBorder="0">
      <alignment horizontal="center" wrapText="1"/>
    </xf>
    <xf numFmtId="0" fontId="14" fillId="38" borderId="0" applyNumberFormat="0" applyBorder="0"/>
    <xf numFmtId="0" fontId="17" fillId="36" borderId="0" applyNumberFormat="0" applyBorder="0">
      <alignment horizontal="center" wrapText="1"/>
    </xf>
    <xf numFmtId="0" fontId="14" fillId="23" borderId="0" applyNumberFormat="0" applyBorder="0"/>
    <xf numFmtId="0" fontId="17" fillId="17" borderId="0" applyNumberFormat="0" applyBorder="0">
      <alignment horizontal="center" wrapText="1"/>
    </xf>
    <xf numFmtId="0" fontId="14" fillId="16" borderId="0" applyNumberFormat="0" applyBorder="0"/>
    <xf numFmtId="0" fontId="17" fillId="37" borderId="0" applyNumberFormat="0" applyBorder="0">
      <alignment horizontal="center" wrapText="1"/>
    </xf>
    <xf numFmtId="0" fontId="14" fillId="42" borderId="0" applyNumberFormat="0" applyBorder="0"/>
    <xf numFmtId="0" fontId="17" fillId="38" borderId="0" applyNumberFormat="0" applyBorder="0">
      <alignment horizontal="center" wrapText="1"/>
    </xf>
    <xf numFmtId="0" fontId="14" fillId="21" borderId="0" applyNumberFormat="0" applyBorder="0">
      <protection locked="0"/>
    </xf>
    <xf numFmtId="0" fontId="17" fillId="26" borderId="0" applyNumberFormat="0" applyBorder="0">
      <alignment horizontal="center" wrapText="1"/>
    </xf>
    <xf numFmtId="0" fontId="88" fillId="0" borderId="0"/>
    <xf numFmtId="0" fontId="89" fillId="0" borderId="0"/>
    <xf numFmtId="0" fontId="9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1" fillId="0" borderId="0"/>
    <xf numFmtId="0" fontId="57" fillId="0" borderId="14" applyNumberFormat="0" applyFont="0" applyFill="0" applyAlignment="0" applyProtection="0"/>
    <xf numFmtId="0" fontId="92" fillId="0" borderId="0">
      <alignment horizontal="fill"/>
    </xf>
    <xf numFmtId="198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0" fontId="93" fillId="0" borderId="6" applyBorder="0" applyProtection="0">
      <alignment horizontal="right"/>
    </xf>
    <xf numFmtId="200" fontId="52" fillId="0" borderId="0" applyFont="0" applyFill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29" borderId="0" applyNumberFormat="0" applyBorder="0" applyAlignment="0" applyProtection="0"/>
    <xf numFmtId="0" fontId="46" fillId="45" borderId="0" applyNumberFormat="0" applyBorder="0" applyAlignment="0" applyProtection="0"/>
    <xf numFmtId="0" fontId="46" fillId="27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45" borderId="0" applyNumberFormat="0" applyBorder="0" applyAlignment="0" applyProtection="0"/>
    <xf numFmtId="0" fontId="46" fillId="29" borderId="0" applyNumberFormat="0" applyBorder="0" applyAlignment="0" applyProtection="0"/>
    <xf numFmtId="0" fontId="94" fillId="25" borderId="15" applyNumberFormat="0" applyAlignment="0" applyProtection="0"/>
    <xf numFmtId="0" fontId="94" fillId="22" borderId="15" applyNumberFormat="0" applyAlignment="0" applyProtection="0"/>
    <xf numFmtId="0" fontId="15" fillId="48" borderId="0" applyNumberFormat="0" applyFont="0" applyBorder="0" applyAlignment="0">
      <protection locked="0"/>
    </xf>
    <xf numFmtId="0" fontId="95" fillId="38" borderId="16" applyNumberFormat="0" applyAlignment="0" applyProtection="0"/>
    <xf numFmtId="0" fontId="95" fillId="36" borderId="16" applyNumberFormat="0" applyAlignment="0" applyProtection="0"/>
    <xf numFmtId="0" fontId="96" fillId="38" borderId="15" applyNumberFormat="0" applyAlignment="0" applyProtection="0"/>
    <xf numFmtId="0" fontId="97" fillId="36" borderId="15" applyNumberFormat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9" fillId="0" borderId="17" applyNumberFormat="0" applyFill="0" applyAlignment="0" applyProtection="0"/>
    <xf numFmtId="0" fontId="100" fillId="0" borderId="18" applyNumberFormat="0" applyFill="0" applyAlignment="0" applyProtection="0"/>
    <xf numFmtId="0" fontId="101" fillId="0" borderId="19" applyNumberFormat="0" applyFill="0" applyAlignment="0" applyProtection="0"/>
    <xf numFmtId="0" fontId="102" fillId="0" borderId="20" applyNumberFormat="0" applyFill="0" applyAlignment="0" applyProtection="0"/>
    <xf numFmtId="0" fontId="103" fillId="0" borderId="21" applyNumberFormat="0" applyFill="0" applyAlignment="0" applyProtection="0"/>
    <xf numFmtId="0" fontId="104" fillId="0" borderId="22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2" fillId="0" borderId="24" applyNumberFormat="0" applyFill="0" applyAlignment="0" applyProtection="0"/>
    <xf numFmtId="0" fontId="105" fillId="49" borderId="25" applyNumberFormat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25" borderId="0" applyNumberFormat="0" applyBorder="0" applyAlignment="0" applyProtection="0"/>
    <xf numFmtId="0" fontId="109" fillId="25" borderId="0" applyNumberFormat="0" applyBorder="0" applyAlignment="0" applyProtection="0"/>
    <xf numFmtId="0" fontId="15" fillId="0" borderId="0"/>
    <xf numFmtId="201" fontId="14" fillId="3" borderId="0">
      <alignment shrinkToFit="1"/>
    </xf>
    <xf numFmtId="0" fontId="110" fillId="23" borderId="0" applyNumberFormat="0" applyBorder="0" applyAlignment="0" applyProtection="0"/>
    <xf numFmtId="0" fontId="110" fillId="19" borderId="0" applyNumberFormat="0" applyBorder="0" applyAlignment="0" applyProtection="0"/>
    <xf numFmtId="0" fontId="111" fillId="0" borderId="0" applyNumberFormat="0" applyFill="0" applyBorder="0" applyAlignment="0" applyProtection="0"/>
    <xf numFmtId="0" fontId="15" fillId="20" borderId="5" applyNumberFormat="0" applyFont="0" applyAlignment="0" applyProtection="0"/>
    <xf numFmtId="0" fontId="45" fillId="20" borderId="5" applyNumberFormat="0" applyFont="0" applyAlignment="0" applyProtection="0"/>
    <xf numFmtId="9" fontId="1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5" fillId="0" borderId="0" applyFont="0" applyFill="0" applyBorder="0">
      <alignment horizontal="right"/>
    </xf>
    <xf numFmtId="0" fontId="113" fillId="0" borderId="26" applyNumberFormat="0" applyFill="0" applyAlignment="0" applyProtection="0"/>
    <xf numFmtId="0" fontId="114" fillId="0" borderId="27" applyNumberFormat="0" applyFill="0" applyAlignment="0" applyProtection="0"/>
    <xf numFmtId="0" fontId="35" fillId="0" borderId="0"/>
    <xf numFmtId="49" fontId="25" fillId="0" borderId="1">
      <alignment horizontal="left" wrapText="1"/>
      <protection locked="0"/>
    </xf>
    <xf numFmtId="0" fontId="113" fillId="0" borderId="0" applyNumberFormat="0" applyFill="0" applyBorder="0" applyAlignment="0" applyProtection="0"/>
    <xf numFmtId="166" fontId="112" fillId="0" borderId="0" applyFont="0" applyFill="0" applyBorder="0" applyAlignment="0" applyProtection="0"/>
    <xf numFmtId="168" fontId="112" fillId="0" borderId="0" applyFont="0" applyFill="0" applyBorder="0" applyAlignment="0" applyProtection="0"/>
    <xf numFmtId="202" fontId="115" fillId="0" borderId="1">
      <alignment shrinkToFit="1"/>
      <protection locked="0"/>
    </xf>
    <xf numFmtId="203" fontId="116" fillId="3" borderId="1" applyFill="0" applyBorder="0" applyProtection="0">
      <alignment shrinkToFit="1"/>
    </xf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70" fontId="1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117" fillId="24" borderId="0" applyNumberFormat="0" applyBorder="0" applyAlignment="0" applyProtection="0"/>
    <xf numFmtId="0" fontId="117" fillId="21" borderId="0" applyNumberFormat="0" applyBorder="0" applyAlignment="0" applyProtection="0"/>
    <xf numFmtId="2" fontId="15" fillId="0" borderId="0" applyFont="0" applyFill="0" applyBorder="0">
      <alignment horizontal="right"/>
    </xf>
    <xf numFmtId="49" fontId="17" fillId="50" borderId="1">
      <alignment horizontal="center" vertical="center" wrapText="1"/>
    </xf>
    <xf numFmtId="168" fontId="11" fillId="0" borderId="0" applyFont="0" applyFill="0" applyBorder="0" applyAlignment="0" applyProtection="0"/>
    <xf numFmtId="0" fontId="45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168" fontId="112" fillId="0" borderId="0" applyFont="0" applyFill="0" applyBorder="0" applyAlignment="0" applyProtection="0"/>
    <xf numFmtId="9" fontId="112" fillId="0" borderId="0" applyFont="0" applyFill="0" applyBorder="0" applyAlignment="0" applyProtection="0"/>
    <xf numFmtId="0" fontId="119" fillId="0" borderId="0">
      <alignment horizontal="left" vertical="top"/>
    </xf>
    <xf numFmtId="0" fontId="120" fillId="0" borderId="0">
      <alignment horizontal="left" vertical="top"/>
    </xf>
    <xf numFmtId="0" fontId="121" fillId="0" borderId="0">
      <alignment horizontal="right" vertical="top"/>
    </xf>
    <xf numFmtId="0" fontId="122" fillId="0" borderId="0">
      <alignment horizontal="right" vertical="top"/>
    </xf>
    <xf numFmtId="0" fontId="123" fillId="0" borderId="0">
      <alignment horizontal="left" vertical="top"/>
    </xf>
    <xf numFmtId="0" fontId="124" fillId="0" borderId="0">
      <alignment horizontal="center" vertical="center"/>
    </xf>
    <xf numFmtId="0" fontId="119" fillId="0" borderId="32">
      <alignment horizontal="center" vertical="center"/>
    </xf>
    <xf numFmtId="0" fontId="125" fillId="0" borderId="0">
      <alignment horizontal="left" vertical="top"/>
    </xf>
    <xf numFmtId="0" fontId="119" fillId="0" borderId="33">
      <alignment horizontal="center" vertical="center"/>
    </xf>
    <xf numFmtId="0" fontId="126" fillId="0" borderId="0">
      <alignment horizontal="left" vertical="top"/>
    </xf>
    <xf numFmtId="0" fontId="119" fillId="0" borderId="33">
      <alignment horizontal="center" vertical="center"/>
    </xf>
    <xf numFmtId="0" fontId="125" fillId="0" borderId="0">
      <alignment horizontal="left" vertical="top"/>
    </xf>
    <xf numFmtId="0" fontId="119" fillId="0" borderId="33">
      <alignment horizontal="center" vertical="center"/>
    </xf>
    <xf numFmtId="0" fontId="120" fillId="0" borderId="34">
      <alignment horizontal="center" vertical="center"/>
    </xf>
    <xf numFmtId="0" fontId="119" fillId="0" borderId="33">
      <alignment horizontal="center" vertical="center"/>
    </xf>
    <xf numFmtId="0" fontId="120" fillId="0" borderId="30">
      <alignment horizontal="center" vertical="center"/>
    </xf>
    <xf numFmtId="0" fontId="119" fillId="0" borderId="33">
      <alignment horizontal="center" vertical="center"/>
    </xf>
    <xf numFmtId="0" fontId="120" fillId="0" borderId="1">
      <alignment horizontal="center" vertical="center"/>
    </xf>
    <xf numFmtId="0" fontId="119" fillId="0" borderId="33">
      <alignment horizontal="center" vertical="center"/>
    </xf>
    <xf numFmtId="0" fontId="120" fillId="0" borderId="1">
      <alignment horizontal="center" vertical="center"/>
    </xf>
    <xf numFmtId="0" fontId="119" fillId="0" borderId="33">
      <alignment horizontal="center" vertical="center"/>
    </xf>
    <xf numFmtId="0" fontId="120" fillId="0" borderId="1">
      <alignment horizontal="center" vertical="center"/>
    </xf>
    <xf numFmtId="0" fontId="119" fillId="0" borderId="35">
      <alignment horizontal="center" vertical="center"/>
    </xf>
    <xf numFmtId="0" fontId="120" fillId="0" borderId="29">
      <alignment horizontal="center" vertical="center"/>
    </xf>
    <xf numFmtId="0" fontId="123" fillId="0" borderId="0">
      <alignment horizontal="left" vertical="top"/>
    </xf>
    <xf numFmtId="0" fontId="125" fillId="0" borderId="0">
      <alignment horizontal="left" vertical="top"/>
    </xf>
    <xf numFmtId="0" fontId="119" fillId="0" borderId="32">
      <alignment horizontal="center" vertical="center"/>
    </xf>
    <xf numFmtId="0" fontId="120" fillId="0" borderId="30">
      <alignment horizontal="center" vertical="center"/>
    </xf>
    <xf numFmtId="0" fontId="119" fillId="0" borderId="33">
      <alignment horizontal="center" vertical="center"/>
    </xf>
    <xf numFmtId="0" fontId="120" fillId="0" borderId="1">
      <alignment horizontal="center" vertical="center"/>
    </xf>
    <xf numFmtId="0" fontId="119" fillId="0" borderId="33">
      <alignment horizontal="center" vertical="center"/>
    </xf>
    <xf numFmtId="0" fontId="120" fillId="0" borderId="1">
      <alignment horizontal="center" vertical="center"/>
    </xf>
    <xf numFmtId="0" fontId="119" fillId="0" borderId="33">
      <alignment horizontal="center" vertical="center"/>
    </xf>
    <xf numFmtId="0" fontId="120" fillId="0" borderId="1">
      <alignment horizontal="center" vertical="center"/>
    </xf>
    <xf numFmtId="0" fontId="119" fillId="0" borderId="33">
      <alignment horizontal="center" vertical="center"/>
    </xf>
    <xf numFmtId="0" fontId="120" fillId="0" borderId="29">
      <alignment horizontal="center" vertical="center"/>
    </xf>
    <xf numFmtId="0" fontId="119" fillId="0" borderId="35">
      <alignment horizontal="center" vertical="center"/>
    </xf>
    <xf numFmtId="0" fontId="123" fillId="0" borderId="0">
      <alignment horizontal="left" vertical="center"/>
    </xf>
    <xf numFmtId="0" fontId="127" fillId="0" borderId="36">
      <alignment horizontal="left" vertical="top"/>
    </xf>
    <xf numFmtId="0" fontId="119" fillId="0" borderId="0">
      <alignment horizontal="right" vertical="top"/>
    </xf>
    <xf numFmtId="0" fontId="119" fillId="0" borderId="0">
      <alignment horizontal="left" vertical="top"/>
    </xf>
    <xf numFmtId="0" fontId="128" fillId="0" borderId="0">
      <alignment horizontal="left" vertical="top"/>
    </xf>
    <xf numFmtId="0" fontId="123" fillId="0" borderId="0">
      <alignment horizontal="left" vertical="top"/>
    </xf>
    <xf numFmtId="0" fontId="125" fillId="0" borderId="0">
      <alignment horizontal="left" vertical="top"/>
    </xf>
    <xf numFmtId="0" fontId="119" fillId="0" borderId="0">
      <alignment horizontal="left" vertical="top"/>
    </xf>
    <xf numFmtId="0" fontId="128" fillId="0" borderId="0">
      <alignment horizontal="right" vertical="top"/>
    </xf>
    <xf numFmtId="0" fontId="119" fillId="0" borderId="0">
      <alignment horizontal="right" vertical="top"/>
    </xf>
    <xf numFmtId="0" fontId="125" fillId="0" borderId="6">
      <alignment horizontal="left" vertical="top"/>
    </xf>
    <xf numFmtId="0" fontId="119" fillId="0" borderId="0">
      <alignment horizontal="right" vertical="top"/>
    </xf>
    <xf numFmtId="0" fontId="129" fillId="0" borderId="0">
      <alignment horizontal="left"/>
    </xf>
    <xf numFmtId="0" fontId="119" fillId="0" borderId="0">
      <alignment horizontal="right" vertical="top"/>
    </xf>
    <xf numFmtId="0" fontId="129" fillId="0" borderId="0">
      <alignment horizontal="left"/>
    </xf>
    <xf numFmtId="0" fontId="127" fillId="0" borderId="37">
      <alignment horizontal="left" vertical="top"/>
    </xf>
    <xf numFmtId="0" fontId="130" fillId="0" borderId="0">
      <alignment horizontal="left" vertical="top"/>
    </xf>
    <xf numFmtId="0" fontId="127" fillId="0" borderId="37">
      <alignment horizontal="right" vertical="top"/>
    </xf>
    <xf numFmtId="0" fontId="130" fillId="0" borderId="0">
      <alignment horizontal="left" vertical="top"/>
    </xf>
    <xf numFmtId="0" fontId="127" fillId="0" borderId="37">
      <alignment horizontal="right" vertical="top"/>
    </xf>
    <xf numFmtId="0" fontId="130" fillId="0" borderId="0">
      <alignment horizontal="left" vertical="top"/>
    </xf>
    <xf numFmtId="0" fontId="127" fillId="0" borderId="37">
      <alignment horizontal="right" vertical="top"/>
    </xf>
    <xf numFmtId="0" fontId="129" fillId="0" borderId="0">
      <alignment horizontal="left"/>
    </xf>
    <xf numFmtId="0" fontId="127" fillId="0" borderId="37">
      <alignment horizontal="left" vertical="top"/>
    </xf>
    <xf numFmtId="0" fontId="129" fillId="0" borderId="0">
      <alignment horizontal="left" vertical="top"/>
    </xf>
    <xf numFmtId="0" fontId="16" fillId="0" borderId="0">
      <alignment horizontal="left"/>
    </xf>
    <xf numFmtId="0" fontId="125" fillId="0" borderId="6">
      <alignment horizontal="left"/>
    </xf>
    <xf numFmtId="0" fontId="123" fillId="0" borderId="0">
      <alignment horizontal="left" vertical="top"/>
    </xf>
    <xf numFmtId="0" fontId="125" fillId="0" borderId="6">
      <alignment horizontal="left" vertical="top"/>
    </xf>
    <xf numFmtId="0" fontId="16" fillId="0" borderId="0">
      <alignment horizontal="left"/>
    </xf>
    <xf numFmtId="0" fontId="130" fillId="0" borderId="0">
      <alignment horizontal="left" vertical="top"/>
    </xf>
    <xf numFmtId="0" fontId="123" fillId="0" borderId="36">
      <alignment horizontal="left" vertical="top"/>
    </xf>
    <xf numFmtId="0" fontId="123" fillId="0" borderId="0">
      <alignment horizontal="left"/>
    </xf>
    <xf numFmtId="0" fontId="131" fillId="0" borderId="0">
      <alignment horizontal="left" vertical="top"/>
    </xf>
    <xf numFmtId="0" fontId="123" fillId="0" borderId="36">
      <alignment horizontal="left"/>
    </xf>
    <xf numFmtId="0" fontId="132" fillId="0" borderId="0">
      <alignment horizontal="center" vertical="top"/>
    </xf>
    <xf numFmtId="0" fontId="125" fillId="0" borderId="0">
      <alignment horizontal="left" vertical="top"/>
    </xf>
    <xf numFmtId="0" fontId="123" fillId="0" borderId="0">
      <alignment horizontal="right" vertical="top"/>
    </xf>
    <xf numFmtId="0" fontId="125" fillId="0" borderId="0">
      <alignment horizontal="center" vertical="top"/>
    </xf>
    <xf numFmtId="0" fontId="123" fillId="0" borderId="0">
      <alignment horizontal="left" vertical="top"/>
    </xf>
    <xf numFmtId="0" fontId="125" fillId="0" borderId="0">
      <alignment horizontal="left" vertical="top"/>
    </xf>
    <xf numFmtId="0" fontId="123" fillId="0" borderId="0">
      <alignment horizontal="left" vertical="top"/>
    </xf>
    <xf numFmtId="0" fontId="125" fillId="0" borderId="0">
      <alignment horizontal="right" vertical="top"/>
    </xf>
    <xf numFmtId="0" fontId="123" fillId="0" borderId="0">
      <alignment horizontal="left" vertical="top"/>
    </xf>
    <xf numFmtId="0" fontId="125" fillId="0" borderId="0">
      <alignment horizontal="left" vertical="top"/>
    </xf>
    <xf numFmtId="0" fontId="112" fillId="0" borderId="0"/>
    <xf numFmtId="0" fontId="90" fillId="0" borderId="0"/>
    <xf numFmtId="168" fontId="112" fillId="0" borderId="0" applyFont="0" applyFill="0" applyBorder="0" applyAlignment="0" applyProtection="0"/>
    <xf numFmtId="0" fontId="133" fillId="0" borderId="0"/>
    <xf numFmtId="0" fontId="11" fillId="0" borderId="0"/>
    <xf numFmtId="9" fontId="11" fillId="0" borderId="0" applyFont="0" applyFill="0" applyBorder="0" applyAlignment="0" applyProtection="0"/>
    <xf numFmtId="0" fontId="25" fillId="0" borderId="0"/>
    <xf numFmtId="43" fontId="112" fillId="0" borderId="0" applyFont="0" applyFill="0" applyBorder="0" applyAlignment="0" applyProtection="0"/>
    <xf numFmtId="0" fontId="23" fillId="0" borderId="0"/>
    <xf numFmtId="0" fontId="140" fillId="0" borderId="0" applyNumberFormat="0" applyFill="0" applyBorder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8" fillId="0" borderId="0"/>
    <xf numFmtId="0" fontId="112" fillId="0" borderId="0"/>
    <xf numFmtId="0" fontId="183" fillId="0" borderId="0" applyNumberFormat="0" applyFill="0" applyBorder="0" applyAlignment="0" applyProtection="0"/>
  </cellStyleXfs>
  <cellXfs count="88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8" borderId="0" xfId="0" applyFill="1" applyAlignment="1">
      <alignment horizontal="center" vertical="center" wrapText="1"/>
    </xf>
    <xf numFmtId="3" fontId="13" fillId="8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52" borderId="1" xfId="0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vertical="center" wrapText="1"/>
    </xf>
    <xf numFmtId="9" fontId="13" fillId="0" borderId="1" xfId="0" applyNumberFormat="1" applyFont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73" fontId="13" fillId="0" borderId="1" xfId="0" applyNumberFormat="1" applyFont="1" applyBorder="1" applyAlignment="1">
      <alignment vertical="center" wrapText="1"/>
    </xf>
    <xf numFmtId="0" fontId="28" fillId="51" borderId="1" xfId="0" applyFont="1" applyFill="1" applyBorder="1" applyAlignment="1">
      <alignment horizontal="center" vertical="center" wrapText="1"/>
    </xf>
    <xf numFmtId="14" fontId="28" fillId="51" borderId="1" xfId="0" applyNumberFormat="1" applyFont="1" applyFill="1" applyBorder="1" applyAlignment="1">
      <alignment horizontal="center" vertical="center" wrapText="1"/>
    </xf>
    <xf numFmtId="3" fontId="28" fillId="51" borderId="1" xfId="0" applyNumberFormat="1" applyFont="1" applyFill="1" applyBorder="1" applyAlignment="1">
      <alignment horizontal="center" vertical="center" wrapText="1"/>
    </xf>
    <xf numFmtId="0" fontId="13" fillId="52" borderId="1" xfId="0" applyFont="1" applyFill="1" applyBorder="1" applyAlignment="1">
      <alignment horizontal="left" vertical="center" wrapText="1"/>
    </xf>
    <xf numFmtId="0" fontId="0" fillId="52" borderId="1" xfId="0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3" fontId="0" fillId="52" borderId="1" xfId="0" applyNumberFormat="1" applyFill="1" applyBorder="1" applyAlignment="1">
      <alignment horizontal="center" vertical="center" wrapText="1"/>
    </xf>
    <xf numFmtId="3" fontId="13" fillId="52" borderId="1" xfId="0" applyNumberFormat="1" applyFont="1" applyFill="1" applyBorder="1" applyAlignment="1">
      <alignment horizontal="center" vertical="center" wrapText="1"/>
    </xf>
    <xf numFmtId="0" fontId="13" fillId="53" borderId="1" xfId="0" applyFont="1" applyFill="1" applyBorder="1" applyAlignment="1">
      <alignment horizontal="left" vertical="center" wrapText="1"/>
    </xf>
    <xf numFmtId="0" fontId="13" fillId="53" borderId="1" xfId="0" applyFont="1" applyFill="1" applyBorder="1" applyAlignment="1">
      <alignment horizontal="center" vertical="center" wrapText="1"/>
    </xf>
    <xf numFmtId="3" fontId="13" fillId="53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0" fillId="0" borderId="34" xfId="0" applyBorder="1" applyAlignment="1">
      <alignment horizontal="center" vertical="center" wrapText="1"/>
    </xf>
    <xf numFmtId="0" fontId="0" fillId="0" borderId="34" xfId="0" applyBorder="1" applyAlignment="1">
      <alignment horizontal="left" vertical="center" wrapText="1"/>
    </xf>
    <xf numFmtId="3" fontId="0" fillId="0" borderId="34" xfId="0" applyNumberFormat="1" applyBorder="1" applyAlignment="1">
      <alignment horizontal="center" vertical="center" wrapText="1"/>
    </xf>
    <xf numFmtId="0" fontId="0" fillId="0" borderId="34" xfId="0" applyBorder="1"/>
    <xf numFmtId="0" fontId="0" fillId="0" borderId="34" xfId="0" applyBorder="1" applyAlignment="1">
      <alignment horizontal="center"/>
    </xf>
    <xf numFmtId="0" fontId="136" fillId="0" borderId="0" xfId="13" applyFont="1" applyAlignment="1">
      <alignment horizontal="center" vertical="center" wrapText="1"/>
    </xf>
    <xf numFmtId="0" fontId="11" fillId="0" borderId="0" xfId="400" applyAlignment="1">
      <alignment horizontal="center" vertical="center" wrapText="1"/>
    </xf>
    <xf numFmtId="0" fontId="139" fillId="0" borderId="0" xfId="402" applyFont="1" applyAlignment="1">
      <alignment horizontal="center" vertical="center" wrapText="1"/>
    </xf>
    <xf numFmtId="0" fontId="138" fillId="55" borderId="0" xfId="402" applyFont="1" applyFill="1" applyAlignment="1">
      <alignment horizontal="left" vertical="center" wrapText="1"/>
    </xf>
    <xf numFmtId="3" fontId="138" fillId="55" borderId="0" xfId="402" applyNumberFormat="1" applyFont="1" applyFill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9" fontId="0" fillId="0" borderId="34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0" xfId="400" applyFont="1" applyAlignment="1">
      <alignment horizontal="center" vertical="center" wrapText="1"/>
    </xf>
    <xf numFmtId="169" fontId="0" fillId="0" borderId="34" xfId="0" applyNumberFormat="1" applyBorder="1" applyAlignment="1">
      <alignment horizontal="center"/>
    </xf>
    <xf numFmtId="0" fontId="0" fillId="0" borderId="0" xfId="26" applyNumberFormat="1" applyFont="1" applyAlignment="1">
      <alignment horizontal="center" vertical="center" wrapText="1"/>
    </xf>
    <xf numFmtId="0" fontId="13" fillId="0" borderId="34" xfId="0" applyFont="1" applyBorder="1" applyAlignment="1">
      <alignment horizontal="left" vertical="center" wrapText="1"/>
    </xf>
    <xf numFmtId="0" fontId="13" fillId="6" borderId="34" xfId="0" applyFont="1" applyFill="1" applyBorder="1" applyAlignment="1">
      <alignment horizontal="left" vertical="center" wrapText="1"/>
    </xf>
    <xf numFmtId="9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3" fontId="13" fillId="0" borderId="34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13" fillId="6" borderId="34" xfId="0" applyFont="1" applyFill="1" applyBorder="1"/>
    <xf numFmtId="14" fontId="13" fillId="6" borderId="34" xfId="0" applyNumberFormat="1" applyFont="1" applyFill="1" applyBorder="1"/>
    <xf numFmtId="17" fontId="13" fillId="6" borderId="34" xfId="0" applyNumberFormat="1" applyFont="1" applyFill="1" applyBorder="1"/>
    <xf numFmtId="2" fontId="0" fillId="0" borderId="34" xfId="0" applyNumberFormat="1" applyBorder="1" applyAlignment="1">
      <alignment horizontal="center"/>
    </xf>
    <xf numFmtId="0" fontId="13" fillId="54" borderId="34" xfId="0" applyFont="1" applyFill="1" applyBorder="1" applyAlignment="1">
      <alignment horizontal="center" vertical="center" wrapText="1"/>
    </xf>
    <xf numFmtId="0" fontId="13" fillId="54" borderId="34" xfId="0" applyFont="1" applyFill="1" applyBorder="1" applyAlignment="1">
      <alignment horizontal="left" vertical="center" wrapText="1"/>
    </xf>
    <xf numFmtId="10" fontId="0" fillId="0" borderId="34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204" fontId="0" fillId="0" borderId="34" xfId="304" applyNumberFormat="1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13" fillId="6" borderId="34" xfId="0" applyFont="1" applyFill="1" applyBorder="1" applyAlignment="1">
      <alignment horizontal="center" vertical="center" wrapText="1"/>
    </xf>
    <xf numFmtId="1" fontId="0" fillId="0" borderId="34" xfId="0" applyNumberForma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40" fillId="0" borderId="0" xfId="405" applyAlignment="1">
      <alignment horizontal="center" vertical="center" wrapText="1"/>
    </xf>
    <xf numFmtId="0" fontId="13" fillId="10" borderId="34" xfId="0" applyFont="1" applyFill="1" applyBorder="1" applyAlignment="1">
      <alignment horizontal="center" vertical="center" wrapText="1"/>
    </xf>
    <xf numFmtId="3" fontId="13" fillId="10" borderId="34" xfId="0" applyNumberFormat="1" applyFont="1" applyFill="1" applyBorder="1" applyAlignment="1">
      <alignment horizontal="center" vertical="center" wrapText="1"/>
    </xf>
    <xf numFmtId="3" fontId="139" fillId="0" borderId="34" xfId="402" applyNumberFormat="1" applyFont="1" applyBorder="1" applyAlignment="1">
      <alignment horizontal="center" vertical="center" wrapText="1"/>
    </xf>
    <xf numFmtId="0" fontId="139" fillId="0" borderId="34" xfId="402" applyFont="1" applyBorder="1" applyAlignment="1">
      <alignment horizontal="left" vertical="center" wrapText="1"/>
    </xf>
    <xf numFmtId="10" fontId="0" fillId="0" borderId="0" xfId="26" applyNumberFormat="1" applyFont="1" applyAlignment="1">
      <alignment horizontal="center" vertical="center" wrapText="1"/>
    </xf>
    <xf numFmtId="3" fontId="136" fillId="8" borderId="34" xfId="13" applyNumberFormat="1" applyFont="1" applyFill="1" applyBorder="1" applyAlignment="1">
      <alignment horizontal="center" vertical="center" wrapText="1"/>
    </xf>
    <xf numFmtId="0" fontId="136" fillId="0" borderId="34" xfId="13" applyFont="1" applyBorder="1" applyAlignment="1">
      <alignment horizontal="center" vertical="center" wrapText="1"/>
    </xf>
    <xf numFmtId="0" fontId="135" fillId="2" borderId="1" xfId="13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/>
    </xf>
    <xf numFmtId="0" fontId="13" fillId="2" borderId="34" xfId="0" applyFont="1" applyFill="1" applyBorder="1"/>
    <xf numFmtId="3" fontId="0" fillId="0" borderId="34" xfId="0" applyNumberFormat="1" applyBorder="1"/>
    <xf numFmtId="3" fontId="0" fillId="0" borderId="34" xfId="0" applyNumberFormat="1" applyBorder="1" applyAlignment="1">
      <alignment horizontal="center"/>
    </xf>
    <xf numFmtId="0" fontId="135" fillId="9" borderId="0" xfId="0" applyFont="1" applyFill="1"/>
    <xf numFmtId="0" fontId="0" fillId="0" borderId="0" xfId="0" applyAlignment="1">
      <alignment horizontal="center"/>
    </xf>
    <xf numFmtId="3" fontId="13" fillId="0" borderId="34" xfId="0" applyNumberFormat="1" applyFont="1" applyBorder="1" applyAlignment="1">
      <alignment horizontal="center"/>
    </xf>
    <xf numFmtId="0" fontId="13" fillId="0" borderId="34" xfId="0" applyFont="1" applyBorder="1"/>
    <xf numFmtId="49" fontId="0" fillId="0" borderId="34" xfId="0" applyNumberFormat="1" applyBorder="1" applyAlignment="1">
      <alignment horizontal="center" vertical="center" wrapText="1"/>
    </xf>
    <xf numFmtId="0" fontId="0" fillId="0" borderId="34" xfId="0" applyBorder="1" applyAlignment="1">
      <alignment horizontal="left" vertical="center" wrapText="1" indent="1"/>
    </xf>
    <xf numFmtId="17" fontId="13" fillId="6" borderId="34" xfId="0" applyNumberFormat="1" applyFont="1" applyFill="1" applyBorder="1" applyAlignment="1">
      <alignment horizontal="center" vertical="center" wrapText="1"/>
    </xf>
    <xf numFmtId="0" fontId="13" fillId="56" borderId="34" xfId="0" applyFont="1" applyFill="1" applyBorder="1" applyAlignment="1">
      <alignment wrapText="1"/>
    </xf>
    <xf numFmtId="0" fontId="13" fillId="56" borderId="34" xfId="0" applyFont="1" applyFill="1" applyBorder="1" applyAlignment="1">
      <alignment horizontal="center" wrapText="1"/>
    </xf>
    <xf numFmtId="169" fontId="0" fillId="0" borderId="0" xfId="26" applyNumberFormat="1" applyFont="1" applyAlignment="1">
      <alignment wrapText="1"/>
    </xf>
    <xf numFmtId="0" fontId="0" fillId="0" borderId="34" xfId="0" applyBorder="1" applyAlignment="1">
      <alignment horizontal="center" wrapText="1"/>
    </xf>
    <xf numFmtId="3" fontId="0" fillId="0" borderId="34" xfId="0" applyNumberFormat="1" applyBorder="1" applyAlignment="1">
      <alignment wrapText="1"/>
    </xf>
    <xf numFmtId="0" fontId="13" fillId="54" borderId="34" xfId="0" applyFont="1" applyFill="1" applyBorder="1" applyAlignment="1">
      <alignment wrapText="1"/>
    </xf>
    <xf numFmtId="0" fontId="13" fillId="54" borderId="34" xfId="0" applyFont="1" applyFill="1" applyBorder="1" applyAlignment="1">
      <alignment horizontal="center" wrapText="1"/>
    </xf>
    <xf numFmtId="3" fontId="13" fillId="54" borderId="34" xfId="0" applyNumberFormat="1" applyFont="1" applyFill="1" applyBorder="1" applyAlignment="1">
      <alignment wrapText="1"/>
    </xf>
    <xf numFmtId="0" fontId="134" fillId="0" borderId="1" xfId="0" applyFont="1" applyBorder="1" applyAlignment="1">
      <alignment horizontal="center" vertical="center" wrapText="1"/>
    </xf>
    <xf numFmtId="10" fontId="134" fillId="0" borderId="1" xfId="0" applyNumberFormat="1" applyFont="1" applyBorder="1" applyAlignment="1">
      <alignment horizontal="center" vertical="center" wrapText="1"/>
    </xf>
    <xf numFmtId="169" fontId="134" fillId="0" borderId="1" xfId="26" applyNumberFormat="1" applyFont="1" applyBorder="1" applyAlignment="1">
      <alignment horizontal="center" vertical="center" wrapText="1"/>
    </xf>
    <xf numFmtId="0" fontId="134" fillId="0" borderId="0" xfId="0" applyFont="1" applyAlignment="1">
      <alignment horizontal="center" vertical="center" wrapText="1"/>
    </xf>
    <xf numFmtId="206" fontId="134" fillId="0" borderId="1" xfId="304" applyNumberFormat="1" applyFont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3" fontId="13" fillId="6" borderId="34" xfId="0" applyNumberFormat="1" applyFont="1" applyFill="1" applyBorder="1" applyAlignment="1">
      <alignment horizontal="center" vertical="center" wrapText="1"/>
    </xf>
    <xf numFmtId="0" fontId="13" fillId="7" borderId="34" xfId="0" applyFont="1" applyFill="1" applyBorder="1" applyAlignment="1">
      <alignment horizontal="left" vertical="center" wrapText="1"/>
    </xf>
    <xf numFmtId="3" fontId="13" fillId="7" borderId="34" xfId="0" applyNumberFormat="1" applyFont="1" applyFill="1" applyBorder="1" applyAlignment="1">
      <alignment horizontal="center" vertical="center" wrapText="1"/>
    </xf>
    <xf numFmtId="0" fontId="13" fillId="10" borderId="34" xfId="0" applyFont="1" applyFill="1" applyBorder="1" applyAlignment="1">
      <alignment horizontal="left" vertical="center" wrapText="1"/>
    </xf>
    <xf numFmtId="0" fontId="13" fillId="54" borderId="0" xfId="0" applyFont="1" applyFill="1" applyAlignment="1">
      <alignment horizontal="center" vertical="center" wrapText="1"/>
    </xf>
    <xf numFmtId="0" fontId="13" fillId="54" borderId="0" xfId="0" applyFont="1" applyFill="1" applyAlignment="1">
      <alignment horizontal="left" vertical="center" wrapText="1"/>
    </xf>
    <xf numFmtId="3" fontId="13" fillId="54" borderId="0" xfId="0" applyNumberFormat="1" applyFont="1" applyFill="1" applyAlignment="1">
      <alignment horizontal="center" vertical="center" wrapText="1"/>
    </xf>
    <xf numFmtId="0" fontId="13" fillId="7" borderId="0" xfId="0" applyFont="1" applyFill="1"/>
    <xf numFmtId="0" fontId="13" fillId="7" borderId="28" xfId="0" applyFont="1" applyFill="1" applyBorder="1"/>
    <xf numFmtId="3" fontId="13" fillId="7" borderId="0" xfId="0" applyNumberFormat="1" applyFont="1" applyFill="1" applyAlignment="1">
      <alignment horizontal="center"/>
    </xf>
    <xf numFmtId="3" fontId="13" fillId="6" borderId="34" xfId="0" applyNumberFormat="1" applyFont="1" applyFill="1" applyBorder="1" applyAlignment="1">
      <alignment horizontal="center"/>
    </xf>
    <xf numFmtId="3" fontId="13" fillId="6" borderId="34" xfId="0" applyNumberFormat="1" applyFont="1" applyFill="1" applyBorder="1"/>
    <xf numFmtId="208" fontId="0" fillId="0" borderId="42" xfId="0" applyNumberFormat="1" applyBorder="1" applyAlignment="1">
      <alignment horizontal="left" vertical="center" wrapText="1"/>
    </xf>
    <xf numFmtId="208" fontId="0" fillId="0" borderId="42" xfId="0" applyNumberFormat="1" applyBorder="1" applyAlignment="1">
      <alignment horizontal="center" vertical="center" wrapText="1"/>
    </xf>
    <xf numFmtId="208" fontId="0" fillId="0" borderId="43" xfId="0" applyNumberFormat="1" applyBorder="1" applyAlignment="1">
      <alignment horizontal="left" vertical="center" wrapText="1"/>
    </xf>
    <xf numFmtId="208" fontId="0" fillId="0" borderId="44" xfId="0" applyNumberFormat="1" applyBorder="1" applyAlignment="1">
      <alignment horizontal="center" vertical="center" wrapText="1"/>
    </xf>
    <xf numFmtId="208" fontId="13" fillId="0" borderId="45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left" vertical="center" wrapText="1"/>
    </xf>
    <xf numFmtId="208" fontId="0" fillId="0" borderId="1" xfId="0" applyNumberForma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left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169" fontId="0" fillId="0" borderId="1" xfId="0" applyNumberFormat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left" vertical="center" wrapText="1"/>
    </xf>
    <xf numFmtId="206" fontId="13" fillId="7" borderId="1" xfId="0" applyNumberFormat="1" applyFont="1" applyFill="1" applyBorder="1" applyAlignment="1">
      <alignment horizontal="center" vertical="center" wrapText="1"/>
    </xf>
    <xf numFmtId="169" fontId="13" fillId="7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34" fillId="0" borderId="1" xfId="0" applyFont="1" applyBorder="1" applyAlignment="1">
      <alignment horizontal="left" vertical="center" wrapText="1"/>
    </xf>
    <xf numFmtId="42" fontId="134" fillId="0" borderId="1" xfId="0" applyNumberFormat="1" applyFont="1" applyBorder="1" applyAlignment="1">
      <alignment horizontal="center" vertical="center" wrapText="1"/>
    </xf>
    <xf numFmtId="49" fontId="13" fillId="7" borderId="1" xfId="0" applyNumberFormat="1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left" vertical="center" wrapText="1"/>
    </xf>
    <xf numFmtId="42" fontId="28" fillId="7" borderId="1" xfId="0" applyNumberFormat="1" applyFont="1" applyFill="1" applyBorder="1" applyAlignment="1">
      <alignment horizontal="center" vertical="center" wrapText="1"/>
    </xf>
    <xf numFmtId="42" fontId="0" fillId="0" borderId="1" xfId="0" applyNumberFormat="1" applyBorder="1" applyAlignment="1">
      <alignment horizontal="center" vertical="center" wrapText="1"/>
    </xf>
    <xf numFmtId="42" fontId="13" fillId="7" borderId="1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left" vertical="center" wrapText="1"/>
    </xf>
    <xf numFmtId="42" fontId="0" fillId="8" borderId="1" xfId="0" applyNumberForma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42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210" fontId="0" fillId="0" borderId="0" xfId="0" applyNumberFormat="1" applyAlignment="1">
      <alignment horizontal="center" vertical="center" wrapText="1"/>
    </xf>
    <xf numFmtId="209" fontId="0" fillId="0" borderId="0" xfId="0" applyNumberFormat="1" applyAlignment="1">
      <alignment horizontal="center" vertical="center" wrapText="1"/>
    </xf>
    <xf numFmtId="0" fontId="13" fillId="57" borderId="1" xfId="0" applyFont="1" applyFill="1" applyBorder="1" applyAlignment="1">
      <alignment horizontal="center" vertical="center" wrapText="1"/>
    </xf>
    <xf numFmtId="209" fontId="0" fillId="0" borderId="1" xfId="0" applyNumberFormat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3" fontId="13" fillId="7" borderId="1" xfId="0" applyNumberFormat="1" applyFont="1" applyFill="1" applyBorder="1" applyAlignment="1">
      <alignment horizontal="center" vertical="center" wrapText="1"/>
    </xf>
    <xf numFmtId="3" fontId="134" fillId="0" borderId="1" xfId="0" applyNumberFormat="1" applyFont="1" applyBorder="1" applyAlignment="1">
      <alignment horizontal="center" vertical="center" wrapText="1"/>
    </xf>
    <xf numFmtId="9" fontId="13" fillId="7" borderId="1" xfId="26" applyFont="1" applyFill="1" applyBorder="1" applyAlignment="1">
      <alignment horizontal="center" vertical="center" wrapText="1"/>
    </xf>
    <xf numFmtId="169" fontId="13" fillId="7" borderId="1" xfId="26" applyNumberFormat="1" applyFont="1" applyFill="1" applyBorder="1" applyAlignment="1">
      <alignment horizontal="center" vertical="center" wrapText="1"/>
    </xf>
    <xf numFmtId="204" fontId="0" fillId="0" borderId="1" xfId="0" applyNumberFormat="1" applyBorder="1" applyAlignment="1">
      <alignment horizontal="center" vertical="center" wrapText="1"/>
    </xf>
    <xf numFmtId="211" fontId="134" fillId="0" borderId="1" xfId="0" applyNumberFormat="1" applyFont="1" applyBorder="1" applyAlignment="1">
      <alignment horizontal="center" vertical="center" wrapText="1"/>
    </xf>
    <xf numFmtId="211" fontId="0" fillId="0" borderId="1" xfId="0" applyNumberFormat="1" applyBorder="1" applyAlignment="1">
      <alignment horizontal="center" vertical="center" wrapText="1"/>
    </xf>
    <xf numFmtId="0" fontId="146" fillId="0" borderId="0" xfId="17" applyFont="1" applyAlignment="1">
      <alignment horizontal="center" vertical="center" wrapText="1"/>
    </xf>
    <xf numFmtId="0" fontId="145" fillId="0" borderId="0" xfId="17" applyFont="1" applyAlignment="1">
      <alignment horizontal="center" vertical="center" wrapText="1"/>
    </xf>
    <xf numFmtId="0" fontId="145" fillId="0" borderId="43" xfId="17" applyFont="1" applyBorder="1" applyAlignment="1">
      <alignment horizontal="center" vertical="center" wrapText="1"/>
    </xf>
    <xf numFmtId="0" fontId="145" fillId="0" borderId="44" xfId="17" applyFont="1" applyBorder="1" applyAlignment="1">
      <alignment horizontal="center" vertical="center" wrapText="1"/>
    </xf>
    <xf numFmtId="0" fontId="145" fillId="0" borderId="45" xfId="17" applyFont="1" applyBorder="1" applyAlignment="1">
      <alignment horizontal="center" vertical="center" wrapText="1"/>
    </xf>
    <xf numFmtId="0" fontId="145" fillId="0" borderId="1" xfId="17" applyFont="1" applyBorder="1" applyAlignment="1">
      <alignment horizontal="center" vertical="center" wrapText="1"/>
    </xf>
    <xf numFmtId="0" fontId="146" fillId="0" borderId="46" xfId="17" applyFont="1" applyBorder="1" applyAlignment="1">
      <alignment horizontal="center" vertical="center" wrapText="1"/>
    </xf>
    <xf numFmtId="4" fontId="145" fillId="6" borderId="1" xfId="17" applyNumberFormat="1" applyFont="1" applyFill="1" applyBorder="1" applyAlignment="1">
      <alignment horizontal="center" vertical="center" wrapText="1"/>
    </xf>
    <xf numFmtId="0" fontId="146" fillId="0" borderId="47" xfId="17" applyFont="1" applyBorder="1" applyAlignment="1">
      <alignment horizontal="center" vertical="center" wrapText="1"/>
    </xf>
    <xf numFmtId="0" fontId="146" fillId="0" borderId="1" xfId="17" applyFont="1" applyBorder="1" applyAlignment="1">
      <alignment horizontal="left" vertical="center" wrapText="1"/>
    </xf>
    <xf numFmtId="3" fontId="146" fillId="6" borderId="47" xfId="17" applyNumberFormat="1" applyFont="1" applyFill="1" applyBorder="1" applyAlignment="1">
      <alignment horizontal="center" vertical="center" wrapText="1"/>
    </xf>
    <xf numFmtId="0" fontId="146" fillId="0" borderId="1" xfId="17" applyFont="1" applyBorder="1" applyAlignment="1">
      <alignment horizontal="center" vertical="center" wrapText="1"/>
    </xf>
    <xf numFmtId="3" fontId="146" fillId="6" borderId="1" xfId="17" applyNumberFormat="1" applyFont="1" applyFill="1" applyBorder="1" applyAlignment="1">
      <alignment horizontal="center" vertical="center" wrapText="1"/>
    </xf>
    <xf numFmtId="3" fontId="146" fillId="0" borderId="1" xfId="17" applyNumberFormat="1" applyFont="1" applyBorder="1" applyAlignment="1">
      <alignment horizontal="center" vertical="center" wrapText="1"/>
    </xf>
    <xf numFmtId="4" fontId="146" fillId="0" borderId="1" xfId="17" applyNumberFormat="1" applyFont="1" applyBorder="1" applyAlignment="1">
      <alignment horizontal="center" vertical="center" wrapText="1"/>
    </xf>
    <xf numFmtId="3" fontId="146" fillId="0" borderId="47" xfId="17" applyNumberFormat="1" applyFont="1" applyBorder="1" applyAlignment="1">
      <alignment horizontal="center" vertical="center" wrapText="1"/>
    </xf>
    <xf numFmtId="3" fontId="146" fillId="0" borderId="0" xfId="17" applyNumberFormat="1" applyFont="1" applyAlignment="1">
      <alignment horizontal="center" vertical="center" wrapText="1"/>
    </xf>
    <xf numFmtId="0" fontId="146" fillId="0" borderId="48" xfId="17" applyFont="1" applyBorder="1" applyAlignment="1">
      <alignment horizontal="center" vertical="center" wrapText="1"/>
    </xf>
    <xf numFmtId="4" fontId="145" fillId="6" borderId="49" xfId="17" applyNumberFormat="1" applyFont="1" applyFill="1" applyBorder="1" applyAlignment="1">
      <alignment horizontal="center" vertical="center" wrapText="1"/>
    </xf>
    <xf numFmtId="0" fontId="146" fillId="0" borderId="50" xfId="17" applyFont="1" applyBorder="1" applyAlignment="1">
      <alignment horizontal="center" vertical="center" wrapText="1"/>
    </xf>
    <xf numFmtId="0" fontId="146" fillId="0" borderId="49" xfId="17" applyFont="1" applyBorder="1" applyAlignment="1">
      <alignment horizontal="left" vertical="center" wrapText="1"/>
    </xf>
    <xf numFmtId="3" fontId="146" fillId="6" borderId="50" xfId="17" applyNumberFormat="1" applyFont="1" applyFill="1" applyBorder="1" applyAlignment="1">
      <alignment horizontal="center" vertical="center" wrapText="1"/>
    </xf>
    <xf numFmtId="3" fontId="145" fillId="58" borderId="49" xfId="17" applyNumberFormat="1" applyFont="1" applyFill="1" applyBorder="1" applyAlignment="1">
      <alignment horizontal="center" vertical="center" wrapText="1"/>
    </xf>
    <xf numFmtId="3" fontId="145" fillId="58" borderId="50" xfId="17" applyNumberFormat="1" applyFont="1" applyFill="1" applyBorder="1" applyAlignment="1">
      <alignment horizontal="center" vertical="center" wrapText="1"/>
    </xf>
    <xf numFmtId="3" fontId="145" fillId="0" borderId="0" xfId="17" applyNumberFormat="1" applyFont="1" applyAlignment="1">
      <alignment horizontal="center" vertical="center" wrapText="1"/>
    </xf>
    <xf numFmtId="0" fontId="24" fillId="0" borderId="0" xfId="17" applyAlignment="1">
      <alignment horizontal="center" vertical="center" wrapText="1"/>
    </xf>
    <xf numFmtId="0" fontId="135" fillId="0" borderId="0" xfId="0" applyFont="1" applyAlignment="1">
      <alignment horizontal="center" vertical="center" wrapText="1"/>
    </xf>
    <xf numFmtId="204" fontId="13" fillId="7" borderId="1" xfId="0" applyNumberFormat="1" applyFont="1" applyFill="1" applyBorder="1" applyAlignment="1">
      <alignment horizontal="center" vertical="center" wrapText="1"/>
    </xf>
    <xf numFmtId="169" fontId="0" fillId="0" borderId="1" xfId="26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3" fillId="0" borderId="34" xfId="0" applyFont="1" applyFill="1" applyBorder="1"/>
    <xf numFmtId="17" fontId="13" fillId="0" borderId="34" xfId="0" applyNumberFormat="1" applyFont="1" applyFill="1" applyBorder="1"/>
    <xf numFmtId="0" fontId="0" fillId="0" borderId="0" xfId="0" applyFill="1"/>
    <xf numFmtId="0" fontId="24" fillId="0" borderId="34" xfId="0" applyFont="1" applyFill="1" applyBorder="1"/>
    <xf numFmtId="0" fontId="24" fillId="0" borderId="0" xfId="0" applyFont="1" applyFill="1"/>
    <xf numFmtId="0" fontId="0" fillId="0" borderId="0" xfId="0" applyBorder="1" applyAlignment="1">
      <alignment horizontal="left"/>
    </xf>
    <xf numFmtId="0" fontId="0" fillId="0" borderId="0" xfId="0" applyBorder="1"/>
    <xf numFmtId="3" fontId="0" fillId="0" borderId="0" xfId="0" applyNumberFormat="1" applyBorder="1" applyAlignment="1">
      <alignment horizontal="center"/>
    </xf>
    <xf numFmtId="3" fontId="24" fillId="0" borderId="34" xfId="0" applyNumberFormat="1" applyFont="1" applyFill="1" applyBorder="1"/>
    <xf numFmtId="0" fontId="13" fillId="7" borderId="0" xfId="0" applyFont="1" applyFill="1" applyBorder="1"/>
    <xf numFmtId="169" fontId="135" fillId="9" borderId="0" xfId="26" applyNumberFormat="1" applyFont="1" applyFill="1"/>
    <xf numFmtId="212" fontId="0" fillId="0" borderId="1" xfId="0" applyNumberFormat="1" applyBorder="1" applyAlignment="1">
      <alignment horizontal="center" vertical="center" wrapText="1"/>
    </xf>
    <xf numFmtId="0" fontId="13" fillId="59" borderId="34" xfId="400" applyFont="1" applyFill="1" applyBorder="1" applyAlignment="1">
      <alignment horizontal="left" vertical="center" wrapText="1"/>
    </xf>
    <xf numFmtId="0" fontId="13" fillId="59" borderId="34" xfId="400" applyFont="1" applyFill="1" applyBorder="1" applyAlignment="1">
      <alignment horizontal="center" vertical="center" wrapText="1"/>
    </xf>
    <xf numFmtId="3" fontId="11" fillId="8" borderId="34" xfId="400" applyNumberFormat="1" applyFill="1" applyBorder="1" applyAlignment="1">
      <alignment horizontal="center" vertical="center" wrapText="1"/>
    </xf>
    <xf numFmtId="9" fontId="11" fillId="8" borderId="34" xfId="400" applyNumberFormat="1" applyFill="1" applyBorder="1" applyAlignment="1">
      <alignment horizontal="center" vertical="center" wrapText="1"/>
    </xf>
    <xf numFmtId="204" fontId="11" fillId="0" borderId="0" xfId="400" applyNumberFormat="1" applyAlignment="1">
      <alignment horizontal="center" vertical="center" wrapText="1"/>
    </xf>
    <xf numFmtId="0" fontId="0" fillId="8" borderId="34" xfId="400" applyFont="1" applyFill="1" applyBorder="1" applyAlignment="1">
      <alignment horizontal="left" vertical="center" wrapText="1"/>
    </xf>
    <xf numFmtId="0" fontId="151" fillId="54" borderId="34" xfId="0" applyFont="1" applyFill="1" applyBorder="1" applyAlignment="1">
      <alignment horizontal="center" vertical="center" wrapText="1"/>
    </xf>
    <xf numFmtId="0" fontId="146" fillId="8" borderId="1" xfId="17" applyFont="1" applyFill="1" applyBorder="1" applyAlignment="1">
      <alignment horizontal="center" vertical="center" wrapText="1"/>
    </xf>
    <xf numFmtId="0" fontId="146" fillId="0" borderId="34" xfId="17" applyFont="1" applyBorder="1" applyAlignment="1">
      <alignment horizontal="center" vertical="center" wrapText="1"/>
    </xf>
    <xf numFmtId="3" fontId="146" fillId="6" borderId="34" xfId="17" applyNumberFormat="1" applyFont="1" applyFill="1" applyBorder="1" applyAlignment="1">
      <alignment horizontal="center" vertical="center" wrapText="1"/>
    </xf>
    <xf numFmtId="3" fontId="146" fillId="0" borderId="34" xfId="17" applyNumberFormat="1" applyFont="1" applyBorder="1" applyAlignment="1">
      <alignment horizontal="center" vertical="center" wrapText="1"/>
    </xf>
    <xf numFmtId="0" fontId="146" fillId="8" borderId="34" xfId="17" applyFont="1" applyFill="1" applyBorder="1" applyAlignment="1">
      <alignment horizontal="center" vertical="center" wrapText="1"/>
    </xf>
    <xf numFmtId="0" fontId="146" fillId="0" borderId="0" xfId="17" applyFont="1" applyBorder="1" applyAlignment="1">
      <alignment horizontal="center" vertical="center" wrapText="1"/>
    </xf>
    <xf numFmtId="0" fontId="146" fillId="0" borderId="0" xfId="17" applyFont="1" applyBorder="1" applyAlignment="1">
      <alignment horizontal="left" vertical="center" wrapText="1"/>
    </xf>
    <xf numFmtId="0" fontId="146" fillId="0" borderId="55" xfId="17" applyFont="1" applyBorder="1" applyAlignment="1">
      <alignment horizontal="center" vertical="center" wrapText="1"/>
    </xf>
    <xf numFmtId="0" fontId="146" fillId="0" borderId="56" xfId="17" applyFont="1" applyBorder="1" applyAlignment="1">
      <alignment horizontal="left" vertical="center" wrapText="1"/>
    </xf>
    <xf numFmtId="3" fontId="146" fillId="6" borderId="57" xfId="17" applyNumberFormat="1" applyFont="1" applyFill="1" applyBorder="1" applyAlignment="1">
      <alignment horizontal="center" vertical="center" wrapText="1"/>
    </xf>
    <xf numFmtId="0" fontId="146" fillId="0" borderId="56" xfId="17" applyFont="1" applyBorder="1" applyAlignment="1">
      <alignment horizontal="center" vertical="center" wrapText="1"/>
    </xf>
    <xf numFmtId="3" fontId="146" fillId="6" borderId="56" xfId="17" applyNumberFormat="1" applyFont="1" applyFill="1" applyBorder="1" applyAlignment="1">
      <alignment horizontal="center" vertical="center" wrapText="1"/>
    </xf>
    <xf numFmtId="3" fontId="146" fillId="0" borderId="56" xfId="17" applyNumberFormat="1" applyFont="1" applyBorder="1" applyAlignment="1">
      <alignment horizontal="center" vertical="center" wrapText="1"/>
    </xf>
    <xf numFmtId="0" fontId="13" fillId="7" borderId="34" xfId="0" applyFont="1" applyFill="1" applyBorder="1" applyAlignment="1">
      <alignment horizontal="center" vertical="center" wrapText="1"/>
    </xf>
    <xf numFmtId="1" fontId="13" fillId="7" borderId="34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211" fontId="0" fillId="0" borderId="34" xfId="0" applyNumberFormat="1" applyBorder="1" applyAlignment="1">
      <alignment horizontal="center" vertical="center" wrapText="1"/>
    </xf>
    <xf numFmtId="42" fontId="134" fillId="0" borderId="3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11" fontId="134" fillId="0" borderId="34" xfId="0" applyNumberFormat="1" applyFont="1" applyBorder="1" applyAlignment="1">
      <alignment horizontal="center" vertical="center" wrapText="1"/>
    </xf>
    <xf numFmtId="42" fontId="0" fillId="0" borderId="34" xfId="0" applyNumberForma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34" xfId="0" applyFont="1" applyBorder="1" applyAlignment="1">
      <alignment horizontal="left" vertical="center" wrapText="1"/>
    </xf>
    <xf numFmtId="3" fontId="0" fillId="0" borderId="34" xfId="0" applyNumberFormat="1" applyFont="1" applyBorder="1" applyAlignment="1">
      <alignment horizontal="center" vertical="center" wrapText="1"/>
    </xf>
    <xf numFmtId="0" fontId="0" fillId="8" borderId="5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35" fillId="54" borderId="34" xfId="0" applyFont="1" applyFill="1" applyBorder="1" applyAlignment="1">
      <alignment horizontal="center" vertical="center" wrapText="1"/>
    </xf>
    <xf numFmtId="0" fontId="135" fillId="54" borderId="34" xfId="0" applyFont="1" applyFill="1" applyBorder="1" applyAlignment="1">
      <alignment horizontal="left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left" vertical="center" wrapText="1"/>
    </xf>
    <xf numFmtId="3" fontId="10" fillId="0" borderId="34" xfId="0" applyNumberFormat="1" applyFont="1" applyBorder="1" applyAlignment="1">
      <alignment horizontal="center" vertical="center" wrapText="1"/>
    </xf>
    <xf numFmtId="2" fontId="10" fillId="0" borderId="34" xfId="0" applyNumberFormat="1" applyFont="1" applyBorder="1" applyAlignment="1">
      <alignment horizontal="center" vertical="center" wrapText="1"/>
    </xf>
    <xf numFmtId="207" fontId="10" fillId="0" borderId="3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37" fillId="0" borderId="0" xfId="0" applyFont="1" applyAlignment="1">
      <alignment horizontal="center" wrapText="1"/>
    </xf>
    <xf numFmtId="0" fontId="140" fillId="0" borderId="34" xfId="405" applyBorder="1" applyAlignment="1">
      <alignment horizontal="center" vertical="center" wrapText="1"/>
    </xf>
    <xf numFmtId="0" fontId="135" fillId="0" borderId="0" xfId="0" applyFont="1" applyBorder="1" applyAlignment="1">
      <alignment horizontal="center" vertical="center" wrapText="1"/>
    </xf>
    <xf numFmtId="0" fontId="138" fillId="54" borderId="34" xfId="408" applyFont="1" applyFill="1" applyBorder="1" applyAlignment="1">
      <alignment horizontal="center" vertical="center" wrapText="1"/>
    </xf>
    <xf numFmtId="0" fontId="139" fillId="54" borderId="34" xfId="408" applyFont="1" applyFill="1" applyBorder="1" applyAlignment="1">
      <alignment horizontal="center" vertical="center" wrapText="1"/>
    </xf>
    <xf numFmtId="0" fontId="139" fillId="0" borderId="0" xfId="408" applyFont="1" applyAlignment="1">
      <alignment horizontal="center" vertical="center" wrapText="1"/>
    </xf>
    <xf numFmtId="0" fontId="139" fillId="0" borderId="41" xfId="408" applyFont="1" applyBorder="1" applyAlignment="1">
      <alignment horizontal="left" vertical="center" wrapText="1"/>
    </xf>
    <xf numFmtId="3" fontId="139" fillId="0" borderId="41" xfId="408" applyNumberFormat="1" applyFont="1" applyBorder="1" applyAlignment="1">
      <alignment horizontal="center" vertical="center" wrapText="1"/>
    </xf>
    <xf numFmtId="3" fontId="139" fillId="0" borderId="34" xfId="408" applyNumberFormat="1" applyFont="1" applyBorder="1" applyAlignment="1">
      <alignment horizontal="center" vertical="center" wrapText="1"/>
    </xf>
    <xf numFmtId="0" fontId="98" fillId="0" borderId="0" xfId="239" applyAlignment="1" applyProtection="1">
      <alignment horizontal="center" vertical="center" wrapText="1"/>
    </xf>
    <xf numFmtId="0" fontId="0" fillId="8" borderId="34" xfId="0" applyFont="1" applyFill="1" applyBorder="1" applyAlignment="1">
      <alignment horizontal="center" vertical="center" wrapText="1"/>
    </xf>
    <xf numFmtId="0" fontId="0" fillId="8" borderId="34" xfId="0" applyFont="1" applyFill="1" applyBorder="1" applyAlignment="1">
      <alignment horizontal="left" vertical="center" wrapText="1"/>
    </xf>
    <xf numFmtId="3" fontId="0" fillId="8" borderId="56" xfId="0" applyNumberFormat="1" applyFill="1" applyBorder="1" applyAlignment="1">
      <alignment horizontal="center" vertical="center" wrapText="1"/>
    </xf>
    <xf numFmtId="0" fontId="0" fillId="8" borderId="34" xfId="0" applyFill="1" applyBorder="1" applyAlignment="1">
      <alignment horizontal="left" vertical="center" wrapText="1"/>
    </xf>
    <xf numFmtId="3" fontId="0" fillId="8" borderId="34" xfId="0" applyNumberFormat="1" applyFill="1" applyBorder="1" applyAlignment="1">
      <alignment horizontal="center" vertical="center" wrapText="1"/>
    </xf>
    <xf numFmtId="3" fontId="0" fillId="8" borderId="52" xfId="0" applyNumberFormat="1" applyFill="1" applyBorder="1" applyAlignment="1">
      <alignment horizontal="center" vertical="center" wrapText="1"/>
    </xf>
    <xf numFmtId="0" fontId="0" fillId="8" borderId="34" xfId="0" applyFill="1" applyBorder="1" applyAlignment="1">
      <alignment horizontal="center" vertical="center" wrapText="1"/>
    </xf>
    <xf numFmtId="0" fontId="0" fillId="7" borderId="34" xfId="0" applyFill="1" applyBorder="1" applyAlignment="1">
      <alignment horizontal="center" vertical="center" wrapText="1"/>
    </xf>
    <xf numFmtId="0" fontId="151" fillId="62" borderId="34" xfId="0" applyFont="1" applyFill="1" applyBorder="1" applyAlignment="1">
      <alignment horizontal="center" vertical="center" wrapText="1"/>
    </xf>
    <xf numFmtId="0" fontId="151" fillId="7" borderId="34" xfId="0" applyFont="1" applyFill="1" applyBorder="1" applyAlignment="1">
      <alignment horizontal="center" vertical="center" wrapText="1"/>
    </xf>
    <xf numFmtId="3" fontId="151" fillId="7" borderId="34" xfId="0" applyNumberFormat="1" applyFont="1" applyFill="1" applyBorder="1" applyAlignment="1">
      <alignment horizontal="center" vertical="center" wrapText="1"/>
    </xf>
    <xf numFmtId="3" fontId="0" fillId="8" borderId="34" xfId="304" applyNumberFormat="1" applyFont="1" applyFill="1" applyBorder="1" applyAlignment="1">
      <alignment horizontal="center" vertical="center" wrapText="1"/>
    </xf>
    <xf numFmtId="3" fontId="0" fillId="8" borderId="34" xfId="0" applyNumberFormat="1" applyFill="1" applyBorder="1" applyAlignment="1">
      <alignment horizontal="left" vertical="center" wrapText="1"/>
    </xf>
    <xf numFmtId="0" fontId="0" fillId="63" borderId="34" xfId="0" applyFill="1" applyBorder="1" applyAlignment="1">
      <alignment horizontal="center" vertical="center" wrapText="1"/>
    </xf>
    <xf numFmtId="2" fontId="0" fillId="63" borderId="34" xfId="0" applyNumberFormat="1" applyFill="1" applyBorder="1" applyAlignment="1">
      <alignment horizontal="center" vertical="center" wrapText="1"/>
    </xf>
    <xf numFmtId="3" fontId="0" fillId="0" borderId="34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9" fontId="0" fillId="0" borderId="34" xfId="0" applyNumberForma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3" fontId="0" fillId="0" borderId="34" xfId="0" applyNumberFormat="1" applyFill="1" applyBorder="1" applyAlignment="1">
      <alignment horizontal="center" vertical="center"/>
    </xf>
    <xf numFmtId="204" fontId="0" fillId="0" borderId="34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3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left" vertical="center" wrapText="1"/>
    </xf>
    <xf numFmtId="4" fontId="0" fillId="0" borderId="34" xfId="0" applyNumberFormat="1" applyFill="1" applyBorder="1" applyAlignment="1">
      <alignment horizontal="center" vertical="center" wrapText="1"/>
    </xf>
    <xf numFmtId="3" fontId="0" fillId="0" borderId="34" xfId="0" applyNumberForma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1" fontId="0" fillId="0" borderId="0" xfId="0" applyNumberFormat="1" applyBorder="1" applyAlignment="1">
      <alignment horizontal="center" vertical="center" wrapText="1"/>
    </xf>
    <xf numFmtId="0" fontId="160" fillId="0" borderId="34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horizontal="left" vertical="center" wrapText="1"/>
    </xf>
    <xf numFmtId="3" fontId="0" fillId="0" borderId="59" xfId="0" applyNumberFormat="1" applyBorder="1" applyAlignment="1">
      <alignment horizontal="center" vertical="center" wrapText="1"/>
    </xf>
    <xf numFmtId="0" fontId="160" fillId="0" borderId="59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3" fillId="0" borderId="41" xfId="0" applyFont="1" applyBorder="1" applyAlignment="1">
      <alignment horizontal="left" vertical="center" wrapText="1"/>
    </xf>
    <xf numFmtId="3" fontId="13" fillId="0" borderId="41" xfId="0" applyNumberFormat="1" applyFont="1" applyBorder="1" applyAlignment="1">
      <alignment horizontal="center" vertical="center" wrapText="1"/>
    </xf>
    <xf numFmtId="0" fontId="161" fillId="0" borderId="0" xfId="0" applyFont="1" applyAlignment="1">
      <alignment horizontal="justify" vertical="center"/>
    </xf>
    <xf numFmtId="0" fontId="0" fillId="0" borderId="0" xfId="0" applyFont="1"/>
    <xf numFmtId="0" fontId="161" fillId="0" borderId="0" xfId="0" applyFont="1"/>
    <xf numFmtId="2" fontId="0" fillId="0" borderId="0" xfId="0" applyNumberFormat="1" applyFont="1" applyAlignment="1">
      <alignment horizontal="center" vertical="center" wrapText="1"/>
    </xf>
    <xf numFmtId="4" fontId="0" fillId="8" borderId="34" xfId="304" applyNumberFormat="1" applyFont="1" applyFill="1" applyBorder="1" applyAlignment="1">
      <alignment horizontal="center" vertical="center" wrapText="1"/>
    </xf>
    <xf numFmtId="4" fontId="0" fillId="8" borderId="56" xfId="304" applyNumberFormat="1" applyFont="1" applyFill="1" applyBorder="1" applyAlignment="1">
      <alignment horizontal="center" vertical="center" wrapText="1"/>
    </xf>
    <xf numFmtId="3" fontId="0" fillId="8" borderId="56" xfId="304" applyNumberFormat="1" applyFont="1" applyFill="1" applyBorder="1" applyAlignment="1">
      <alignment horizontal="center" vertical="center" wrapText="1"/>
    </xf>
    <xf numFmtId="4" fontId="13" fillId="7" borderId="34" xfId="0" applyNumberFormat="1" applyFont="1" applyFill="1" applyBorder="1" applyAlignment="1">
      <alignment horizontal="center" vertical="center" wrapText="1"/>
    </xf>
    <xf numFmtId="4" fontId="13" fillId="7" borderId="34" xfId="304" applyNumberFormat="1" applyFont="1" applyFill="1" applyBorder="1" applyAlignment="1">
      <alignment horizontal="center" vertical="center" wrapText="1"/>
    </xf>
    <xf numFmtId="3" fontId="13" fillId="7" borderId="34" xfId="304" applyNumberFormat="1" applyFont="1" applyFill="1" applyBorder="1" applyAlignment="1">
      <alignment horizontal="center" vertical="center" wrapText="1"/>
    </xf>
    <xf numFmtId="4" fontId="0" fillId="9" borderId="34" xfId="0" applyNumberFormat="1" applyFill="1" applyBorder="1" applyAlignment="1">
      <alignment horizontal="center" vertical="center" wrapText="1"/>
    </xf>
    <xf numFmtId="3" fontId="0" fillId="9" borderId="34" xfId="0" applyNumberForma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162" fillId="0" borderId="0" xfId="0" applyFont="1" applyBorder="1" applyAlignment="1"/>
    <xf numFmtId="0" fontId="163" fillId="0" borderId="60" xfId="0" applyFont="1" applyBorder="1" applyAlignment="1">
      <alignment horizontal="left" wrapText="1"/>
    </xf>
    <xf numFmtId="0" fontId="163" fillId="0" borderId="34" xfId="0" applyFont="1" applyBorder="1" applyAlignment="1">
      <alignment horizontal="center" vertical="center" wrapText="1"/>
    </xf>
    <xf numFmtId="0" fontId="163" fillId="0" borderId="54" xfId="0" applyFont="1" applyBorder="1" applyAlignment="1">
      <alignment horizontal="center" vertical="center" wrapText="1"/>
    </xf>
    <xf numFmtId="0" fontId="163" fillId="0" borderId="34" xfId="0" applyFont="1" applyBorder="1" applyAlignment="1">
      <alignment horizontal="left" vertical="center" wrapText="1"/>
    </xf>
    <xf numFmtId="3" fontId="163" fillId="0" borderId="34" xfId="0" applyNumberFormat="1" applyFont="1" applyBorder="1" applyAlignment="1">
      <alignment horizontal="center" vertical="center"/>
    </xf>
    <xf numFmtId="3" fontId="163" fillId="0" borderId="34" xfId="0" applyNumberFormat="1" applyFont="1" applyBorder="1" applyAlignment="1">
      <alignment horizontal="center" vertical="center" wrapText="1"/>
    </xf>
    <xf numFmtId="4" fontId="163" fillId="0" borderId="34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4" xfId="0" applyFill="1" applyBorder="1" applyAlignment="1">
      <alignment horizontal="center" vertical="top" wrapText="1"/>
    </xf>
    <xf numFmtId="0" fontId="0" fillId="0" borderId="0" xfId="0" applyFill="1" applyBorder="1" applyAlignment="1">
      <alignment wrapText="1"/>
    </xf>
    <xf numFmtId="0" fontId="163" fillId="0" borderId="34" xfId="0" applyFont="1" applyBorder="1" applyAlignment="1">
      <alignment wrapText="1"/>
    </xf>
    <xf numFmtId="2" fontId="163" fillId="0" borderId="34" xfId="0" applyNumberFormat="1" applyFont="1" applyBorder="1" applyAlignment="1">
      <alignment wrapText="1"/>
    </xf>
    <xf numFmtId="2" fontId="163" fillId="0" borderId="0" xfId="0" applyNumberFormat="1" applyFont="1" applyBorder="1" applyAlignment="1">
      <alignment wrapText="1"/>
    </xf>
    <xf numFmtId="2" fontId="163" fillId="0" borderId="34" xfId="0" applyNumberFormat="1" applyFont="1" applyFill="1" applyBorder="1" applyAlignment="1">
      <alignment wrapText="1"/>
    </xf>
    <xf numFmtId="2" fontId="163" fillId="0" borderId="0" xfId="0" applyNumberFormat="1" applyFont="1" applyFill="1" applyBorder="1" applyAlignment="1">
      <alignment wrapText="1"/>
    </xf>
    <xf numFmtId="0" fontId="164" fillId="64" borderId="34" xfId="0" applyFont="1" applyFill="1" applyBorder="1" applyAlignment="1">
      <alignment wrapText="1"/>
    </xf>
    <xf numFmtId="4" fontId="164" fillId="64" borderId="34" xfId="0" applyNumberFormat="1" applyFont="1" applyFill="1" applyBorder="1" applyAlignment="1">
      <alignment wrapText="1"/>
    </xf>
    <xf numFmtId="2" fontId="0" fillId="0" borderId="0" xfId="0" applyNumberFormat="1" applyBorder="1" applyAlignment="1">
      <alignment wrapText="1"/>
    </xf>
    <xf numFmtId="0" fontId="164" fillId="61" borderId="34" xfId="0" applyFont="1" applyFill="1" applyBorder="1" applyAlignment="1">
      <alignment wrapText="1"/>
    </xf>
    <xf numFmtId="4" fontId="164" fillId="61" borderId="34" xfId="0" applyNumberFormat="1" applyFont="1" applyFill="1" applyBorder="1" applyAlignment="1">
      <alignment wrapText="1"/>
    </xf>
    <xf numFmtId="0" fontId="163" fillId="0" borderId="0" xfId="0" applyFont="1" applyBorder="1" applyAlignment="1">
      <alignment wrapText="1"/>
    </xf>
    <xf numFmtId="4" fontId="163" fillId="0" borderId="34" xfId="0" applyNumberFormat="1" applyFont="1" applyBorder="1" applyAlignment="1">
      <alignment wrapText="1"/>
    </xf>
    <xf numFmtId="0" fontId="142" fillId="0" borderId="0" xfId="0" applyFont="1" applyBorder="1" applyAlignment="1">
      <alignment wrapText="1"/>
    </xf>
    <xf numFmtId="0" fontId="164" fillId="54" borderId="61" xfId="0" applyFont="1" applyFill="1" applyBorder="1" applyAlignment="1">
      <alignment wrapText="1"/>
    </xf>
    <xf numFmtId="4" fontId="163" fillId="10" borderId="62" xfId="0" applyNumberFormat="1" applyFont="1" applyFill="1" applyBorder="1" applyAlignment="1">
      <alignment wrapText="1"/>
    </xf>
    <xf numFmtId="4" fontId="163" fillId="0" borderId="0" xfId="0" applyNumberFormat="1" applyFont="1" applyBorder="1" applyAlignment="1">
      <alignment wrapText="1"/>
    </xf>
    <xf numFmtId="4" fontId="163" fillId="0" borderId="0" xfId="0" applyNumberFormat="1" applyFont="1" applyFill="1" applyBorder="1" applyAlignment="1">
      <alignment wrapText="1"/>
    </xf>
    <xf numFmtId="0" fontId="164" fillId="54" borderId="63" xfId="0" applyFont="1" applyFill="1" applyBorder="1" applyAlignment="1">
      <alignment wrapText="1"/>
    </xf>
    <xf numFmtId="3" fontId="163" fillId="10" borderId="64" xfId="0" applyNumberFormat="1" applyFont="1" applyFill="1" applyBorder="1" applyAlignment="1">
      <alignment wrapText="1"/>
    </xf>
    <xf numFmtId="3" fontId="163" fillId="10" borderId="34" xfId="0" applyNumberFormat="1" applyFont="1" applyFill="1" applyBorder="1" applyAlignment="1">
      <alignment wrapText="1"/>
    </xf>
    <xf numFmtId="0" fontId="163" fillId="0" borderId="0" xfId="0" applyFont="1" applyBorder="1" applyAlignment="1">
      <alignment horizontal="center"/>
    </xf>
    <xf numFmtId="0" fontId="163" fillId="0" borderId="0" xfId="0" applyFont="1" applyBorder="1" applyAlignment="1">
      <alignment horizontal="center" vertical="top" wrapText="1"/>
    </xf>
    <xf numFmtId="4" fontId="163" fillId="0" borderId="0" xfId="0" applyNumberFormat="1" applyFont="1" applyBorder="1" applyAlignment="1">
      <alignment horizontal="center" vertical="top" wrapText="1"/>
    </xf>
    <xf numFmtId="4" fontId="163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/>
    <xf numFmtId="4" fontId="0" fillId="0" borderId="0" xfId="0" applyNumberFormat="1"/>
    <xf numFmtId="0" fontId="0" fillId="9" borderId="34" xfId="0" applyFill="1" applyBorder="1" applyAlignment="1">
      <alignment horizontal="center" vertical="center" wrapText="1"/>
    </xf>
    <xf numFmtId="0" fontId="165" fillId="65" borderId="0" xfId="0" applyFont="1" applyFill="1" applyBorder="1" applyAlignment="1">
      <alignment horizontal="right" vertical="center" wrapText="1"/>
    </xf>
    <xf numFmtId="0" fontId="166" fillId="0" borderId="34" xfId="13" applyFont="1" applyBorder="1" applyAlignment="1">
      <alignment horizontal="left" vertical="center" wrapText="1"/>
    </xf>
    <xf numFmtId="0" fontId="135" fillId="2" borderId="34" xfId="13" applyFont="1" applyFill="1" applyBorder="1" applyAlignment="1">
      <alignment horizontal="center" vertical="center" wrapText="1"/>
    </xf>
    <xf numFmtId="1" fontId="135" fillId="2" borderId="1" xfId="13" applyNumberFormat="1" applyFont="1" applyFill="1" applyBorder="1" applyAlignment="1">
      <alignment horizontal="center" vertical="center" wrapText="1"/>
    </xf>
    <xf numFmtId="3" fontId="166" fillId="8" borderId="34" xfId="13" applyNumberFormat="1" applyFont="1" applyFill="1" applyBorder="1" applyAlignment="1">
      <alignment horizontal="center" vertical="center" wrapText="1"/>
    </xf>
    <xf numFmtId="9" fontId="166" fillId="8" borderId="34" xfId="26" applyFont="1" applyFill="1" applyBorder="1" applyAlignment="1">
      <alignment horizontal="center" vertical="center" wrapText="1"/>
    </xf>
    <xf numFmtId="3" fontId="166" fillId="0" borderId="34" xfId="13" applyNumberFormat="1" applyFont="1" applyBorder="1" applyAlignment="1">
      <alignment horizontal="center" vertical="center" wrapText="1"/>
    </xf>
    <xf numFmtId="9" fontId="148" fillId="8" borderId="34" xfId="26" applyFont="1" applyFill="1" applyBorder="1" applyAlignment="1">
      <alignment horizontal="center" vertical="center" wrapText="1"/>
    </xf>
    <xf numFmtId="3" fontId="148" fillId="8" borderId="34" xfId="13" applyNumberFormat="1" applyFont="1" applyFill="1" applyBorder="1" applyAlignment="1">
      <alignment horizontal="center" vertical="center" wrapText="1"/>
    </xf>
    <xf numFmtId="3" fontId="148" fillId="0" borderId="1" xfId="13" applyNumberFormat="1" applyFont="1" applyBorder="1" applyAlignment="1">
      <alignment horizontal="center" vertical="center" wrapText="1"/>
    </xf>
    <xf numFmtId="3" fontId="168" fillId="0" borderId="34" xfId="13" applyNumberFormat="1" applyFont="1" applyBorder="1" applyAlignment="1">
      <alignment horizontal="center" vertical="center" wrapText="1"/>
    </xf>
    <xf numFmtId="3" fontId="148" fillId="0" borderId="34" xfId="13" applyNumberFormat="1" applyFont="1" applyBorder="1" applyAlignment="1">
      <alignment horizontal="center" vertical="center" wrapText="1"/>
    </xf>
    <xf numFmtId="9" fontId="136" fillId="8" borderId="34" xfId="26" applyFont="1" applyFill="1" applyBorder="1" applyAlignment="1">
      <alignment horizontal="center" vertical="center" wrapText="1"/>
    </xf>
    <xf numFmtId="9" fontId="10" fillId="8" borderId="34" xfId="26" applyFont="1" applyFill="1" applyBorder="1" applyAlignment="1">
      <alignment horizontal="center" vertical="center" wrapText="1"/>
    </xf>
    <xf numFmtId="0" fontId="10" fillId="0" borderId="34" xfId="13" applyFont="1" applyBorder="1" applyAlignment="1">
      <alignment horizontal="center" vertical="center" wrapText="1"/>
    </xf>
    <xf numFmtId="9" fontId="166" fillId="0" borderId="34" xfId="26" applyFont="1" applyBorder="1" applyAlignment="1">
      <alignment horizontal="center" vertical="center" wrapText="1"/>
    </xf>
    <xf numFmtId="0" fontId="167" fillId="0" borderId="0" xfId="0" applyFont="1" applyAlignment="1">
      <alignment horizontal="left" vertical="center" wrapText="1"/>
    </xf>
    <xf numFmtId="3" fontId="167" fillId="0" borderId="0" xfId="0" applyNumberFormat="1" applyFont="1" applyAlignment="1">
      <alignment horizontal="center" vertical="center" wrapText="1"/>
    </xf>
    <xf numFmtId="195" fontId="10" fillId="0" borderId="34" xfId="0" applyNumberFormat="1" applyFont="1" applyBorder="1" applyAlignment="1">
      <alignment horizontal="center" vertical="center" wrapText="1"/>
    </xf>
    <xf numFmtId="214" fontId="10" fillId="0" borderId="34" xfId="0" applyNumberFormat="1" applyFont="1" applyBorder="1" applyAlignment="1">
      <alignment horizontal="center" vertical="center" wrapText="1"/>
    </xf>
    <xf numFmtId="1" fontId="10" fillId="0" borderId="34" xfId="0" applyNumberFormat="1" applyFont="1" applyBorder="1" applyAlignment="1">
      <alignment horizontal="center" vertical="center" wrapText="1"/>
    </xf>
    <xf numFmtId="0" fontId="148" fillId="10" borderId="0" xfId="0" applyFont="1" applyFill="1" applyAlignment="1">
      <alignment horizontal="center" vertical="center" wrapText="1"/>
    </xf>
    <xf numFmtId="0" fontId="148" fillId="10" borderId="0" xfId="0" applyFont="1" applyFill="1" applyAlignment="1">
      <alignment horizontal="left" vertical="center" wrapText="1"/>
    </xf>
    <xf numFmtId="3" fontId="148" fillId="10" borderId="0" xfId="0" applyNumberFormat="1" applyFont="1" applyFill="1" applyAlignment="1">
      <alignment horizontal="center" vertical="center" wrapText="1"/>
    </xf>
    <xf numFmtId="0" fontId="137" fillId="0" borderId="34" xfId="0" applyFont="1" applyBorder="1" applyAlignment="1">
      <alignment horizontal="center" wrapText="1"/>
    </xf>
    <xf numFmtId="0" fontId="170" fillId="0" borderId="0" xfId="0" applyFont="1" applyAlignment="1">
      <alignment horizontal="center" vertical="center" wrapText="1"/>
    </xf>
    <xf numFmtId="2" fontId="170" fillId="0" borderId="0" xfId="0" applyNumberFormat="1" applyFont="1" applyAlignment="1">
      <alignment horizontal="center" vertical="center" wrapText="1"/>
    </xf>
    <xf numFmtId="1" fontId="13" fillId="6" borderId="34" xfId="26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148" fillId="9" borderId="0" xfId="0" applyNumberFormat="1" applyFont="1" applyFill="1" applyBorder="1" applyAlignment="1">
      <alignment horizontal="center" vertical="center" wrapText="1"/>
    </xf>
    <xf numFmtId="204" fontId="139" fillId="0" borderId="34" xfId="402" applyNumberFormat="1" applyFont="1" applyBorder="1" applyAlignment="1">
      <alignment horizontal="center" vertical="center" wrapText="1"/>
    </xf>
    <xf numFmtId="0" fontId="138" fillId="54" borderId="34" xfId="402" applyFont="1" applyFill="1" applyBorder="1" applyAlignment="1">
      <alignment horizontal="center" vertical="center" wrapText="1"/>
    </xf>
    <xf numFmtId="0" fontId="171" fillId="6" borderId="0" xfId="402" applyFont="1" applyFill="1" applyAlignment="1">
      <alignment horizontal="center" vertical="center" wrapText="1"/>
    </xf>
    <xf numFmtId="3" fontId="171" fillId="6" borderId="0" xfId="402" applyNumberFormat="1" applyFont="1" applyFill="1" applyAlignment="1">
      <alignment horizontal="center" vertical="center" wrapText="1"/>
    </xf>
    <xf numFmtId="1" fontId="13" fillId="2" borderId="34" xfId="0" applyNumberFormat="1" applyFont="1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" fontId="13" fillId="6" borderId="34" xfId="0" applyNumberFormat="1" applyFont="1" applyFill="1" applyBorder="1" applyAlignment="1">
      <alignment horizontal="center" vertical="center" wrapText="1"/>
    </xf>
    <xf numFmtId="0" fontId="148" fillId="10" borderId="34" xfId="0" applyFont="1" applyFill="1" applyBorder="1" applyAlignment="1">
      <alignment wrapText="1"/>
    </xf>
    <xf numFmtId="3" fontId="148" fillId="10" borderId="34" xfId="0" applyNumberFormat="1" applyFont="1" applyFill="1" applyBorder="1" applyAlignment="1">
      <alignment wrapText="1"/>
    </xf>
    <xf numFmtId="0" fontId="151" fillId="0" borderId="66" xfId="0" applyFont="1" applyBorder="1" applyAlignment="1">
      <alignment horizontal="left" vertical="center" wrapText="1"/>
    </xf>
    <xf numFmtId="3" fontId="151" fillId="9" borderId="67" xfId="0" applyNumberFormat="1" applyFont="1" applyFill="1" applyBorder="1" applyAlignment="1">
      <alignment horizontal="center" vertical="center" wrapText="1"/>
    </xf>
    <xf numFmtId="0" fontId="148" fillId="9" borderId="0" xfId="0" applyFont="1" applyFill="1" applyAlignment="1">
      <alignment horizontal="center" vertical="center" wrapText="1"/>
    </xf>
    <xf numFmtId="1" fontId="28" fillId="51" borderId="1" xfId="0" applyNumberFormat="1" applyFont="1" applyFill="1" applyBorder="1" applyAlignment="1">
      <alignment horizontal="center" vertical="center" wrapText="1"/>
    </xf>
    <xf numFmtId="0" fontId="13" fillId="54" borderId="1" xfId="0" applyFont="1" applyFill="1" applyBorder="1" applyAlignment="1">
      <alignment horizontal="center" vertical="center" wrapText="1"/>
    </xf>
    <xf numFmtId="0" fontId="13" fillId="54" borderId="1" xfId="0" applyFont="1" applyFill="1" applyBorder="1" applyAlignment="1">
      <alignment horizontal="left" vertical="center" wrapText="1"/>
    </xf>
    <xf numFmtId="0" fontId="13" fillId="54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0" fillId="0" borderId="0" xfId="17" applyFont="1" applyAlignment="1">
      <alignment horizontal="center" vertical="center" wrapText="1"/>
    </xf>
    <xf numFmtId="0" fontId="24" fillId="8" borderId="34" xfId="400" applyFont="1" applyFill="1" applyBorder="1" applyAlignment="1">
      <alignment horizontal="left" vertical="center" wrapText="1"/>
    </xf>
    <xf numFmtId="0" fontId="24" fillId="8" borderId="34" xfId="400" applyFont="1" applyFill="1" applyBorder="1" applyAlignment="1">
      <alignment horizontal="center" vertical="center" wrapText="1"/>
    </xf>
    <xf numFmtId="0" fontId="0" fillId="8" borderId="34" xfId="400" applyFont="1" applyFill="1" applyBorder="1" applyAlignment="1">
      <alignment horizontal="center" vertical="center" wrapText="1"/>
    </xf>
    <xf numFmtId="169" fontId="11" fillId="8" borderId="34" xfId="400" applyNumberFormat="1" applyFill="1" applyBorder="1" applyAlignment="1">
      <alignment horizontal="center" vertical="center" wrapText="1"/>
    </xf>
    <xf numFmtId="9" fontId="11" fillId="8" borderId="34" xfId="26" applyFill="1" applyBorder="1" applyAlignment="1">
      <alignment horizontal="center" vertical="center" wrapText="1"/>
    </xf>
    <xf numFmtId="9" fontId="0" fillId="8" borderId="34" xfId="400" applyNumberFormat="1" applyFont="1" applyFill="1" applyBorder="1" applyAlignment="1">
      <alignment horizontal="center" vertical="center" wrapText="1"/>
    </xf>
    <xf numFmtId="3" fontId="11" fillId="0" borderId="0" xfId="400" applyNumberFormat="1" applyAlignment="1">
      <alignment horizontal="center" vertical="center" wrapText="1"/>
    </xf>
    <xf numFmtId="0" fontId="0" fillId="0" borderId="0" xfId="400" applyFont="1" applyAlignment="1">
      <alignment horizontal="right" vertical="center" wrapText="1"/>
    </xf>
    <xf numFmtId="0" fontId="24" fillId="0" borderId="69" xfId="0" applyFont="1" applyFill="1" applyBorder="1"/>
    <xf numFmtId="169" fontId="24" fillId="0" borderId="69" xfId="0" applyNumberFormat="1" applyFont="1" applyFill="1" applyBorder="1"/>
    <xf numFmtId="3" fontId="151" fillId="9" borderId="34" xfId="0" applyNumberFormat="1" applyFont="1" applyFill="1" applyBorder="1" applyAlignment="1">
      <alignment horizontal="center" vertical="center" wrapText="1"/>
    </xf>
    <xf numFmtId="9" fontId="9" fillId="0" borderId="0" xfId="13" applyNumberFormat="1" applyFont="1" applyAlignment="1">
      <alignment vertical="center" wrapText="1"/>
    </xf>
    <xf numFmtId="9" fontId="136" fillId="0" borderId="0" xfId="13" applyNumberFormat="1" applyFont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204" fontId="0" fillId="0" borderId="34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" fontId="13" fillId="54" borderId="34" xfId="26" applyNumberFormat="1" applyFont="1" applyFill="1" applyBorder="1" applyAlignment="1">
      <alignment horizontal="center" vertical="center" wrapText="1"/>
    </xf>
    <xf numFmtId="3" fontId="151" fillId="9" borderId="34" xfId="400" applyNumberFormat="1" applyFont="1" applyFill="1" applyBorder="1" applyAlignment="1">
      <alignment horizontal="center" vertical="center" wrapText="1"/>
    </xf>
    <xf numFmtId="9" fontId="151" fillId="9" borderId="34" xfId="40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70" fillId="0" borderId="0" xfId="0" applyFont="1" applyAlignment="1">
      <alignment horizontal="left" vertical="center" wrapText="1"/>
    </xf>
    <xf numFmtId="3" fontId="170" fillId="0" borderId="0" xfId="0" applyNumberFormat="1" applyFont="1" applyAlignment="1">
      <alignment horizontal="center" vertical="center" wrapText="1"/>
    </xf>
    <xf numFmtId="164" fontId="151" fillId="0" borderId="1" xfId="0" applyNumberFormat="1" applyFont="1" applyBorder="1" applyAlignment="1">
      <alignment horizontal="center" vertical="center" wrapText="1"/>
    </xf>
    <xf numFmtId="169" fontId="0" fillId="0" borderId="31" xfId="0" applyNumberFormat="1" applyBorder="1" applyAlignment="1">
      <alignment horizontal="center" vertical="center" wrapText="1"/>
    </xf>
    <xf numFmtId="205" fontId="0" fillId="0" borderId="1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left" vertical="center" wrapText="1"/>
    </xf>
    <xf numFmtId="0" fontId="151" fillId="6" borderId="34" xfId="0" applyFont="1" applyFill="1" applyBorder="1" applyAlignment="1">
      <alignment horizontal="center" vertical="center" wrapText="1"/>
    </xf>
    <xf numFmtId="9" fontId="0" fillId="0" borderId="34" xfId="26" applyFont="1" applyBorder="1" applyAlignment="1">
      <alignment horizontal="center" vertical="center" wrapText="1"/>
    </xf>
    <xf numFmtId="49" fontId="0" fillId="0" borderId="34" xfId="0" applyNumberFormat="1" applyBorder="1" applyAlignment="1">
      <alignment horizontal="left" vertical="center" wrapText="1"/>
    </xf>
    <xf numFmtId="49" fontId="151" fillId="7" borderId="34" xfId="0" applyNumberFormat="1" applyFont="1" applyFill="1" applyBorder="1" applyAlignment="1">
      <alignment horizontal="center" vertical="center" wrapText="1"/>
    </xf>
    <xf numFmtId="49" fontId="151" fillId="7" borderId="34" xfId="0" applyNumberFormat="1" applyFont="1" applyFill="1" applyBorder="1" applyAlignment="1">
      <alignment horizontal="left" vertical="center" wrapText="1"/>
    </xf>
    <xf numFmtId="49" fontId="151" fillId="9" borderId="34" xfId="0" applyNumberFormat="1" applyFont="1" applyFill="1" applyBorder="1" applyAlignment="1">
      <alignment horizontal="center" vertical="center" wrapText="1"/>
    </xf>
    <xf numFmtId="49" fontId="151" fillId="9" borderId="34" xfId="0" applyNumberFormat="1" applyFont="1" applyFill="1" applyBorder="1" applyAlignment="1">
      <alignment horizontal="left" vertical="center" wrapText="1"/>
    </xf>
    <xf numFmtId="0" fontId="151" fillId="9" borderId="34" xfId="0" applyFont="1" applyFill="1" applyBorder="1" applyAlignment="1">
      <alignment horizontal="center" vertical="center" wrapText="1"/>
    </xf>
    <xf numFmtId="49" fontId="151" fillId="66" borderId="34" xfId="0" applyNumberFormat="1" applyFont="1" applyFill="1" applyBorder="1" applyAlignment="1">
      <alignment horizontal="center" vertical="center" wrapText="1"/>
    </xf>
    <xf numFmtId="49" fontId="151" fillId="66" borderId="34" xfId="0" applyNumberFormat="1" applyFont="1" applyFill="1" applyBorder="1" applyAlignment="1">
      <alignment horizontal="left" vertical="center" wrapText="1"/>
    </xf>
    <xf numFmtId="0" fontId="151" fillId="66" borderId="34" xfId="0" applyFont="1" applyFill="1" applyBorder="1" applyAlignment="1">
      <alignment horizontal="center" vertical="center" wrapText="1"/>
    </xf>
    <xf numFmtId="3" fontId="151" fillId="66" borderId="34" xfId="0" applyNumberFormat="1" applyFont="1" applyFill="1" applyBorder="1" applyAlignment="1">
      <alignment horizontal="center" vertical="center" wrapText="1"/>
    </xf>
    <xf numFmtId="169" fontId="0" fillId="0" borderId="34" xfId="26" applyNumberFormat="1" applyFont="1" applyBorder="1" applyAlignment="1">
      <alignment horizontal="center" vertical="center" wrapText="1"/>
    </xf>
    <xf numFmtId="0" fontId="151" fillId="0" borderId="34" xfId="0" applyFont="1" applyBorder="1" applyAlignment="1">
      <alignment horizontal="left" vertical="center" wrapText="1"/>
    </xf>
    <xf numFmtId="169" fontId="151" fillId="0" borderId="34" xfId="26" applyNumberFormat="1" applyFont="1" applyBorder="1" applyAlignment="1">
      <alignment horizontal="center" vertical="center" wrapText="1"/>
    </xf>
    <xf numFmtId="208" fontId="151" fillId="0" borderId="34" xfId="0" applyNumberFormat="1" applyFont="1" applyBorder="1" applyAlignment="1">
      <alignment horizontal="center" vertical="center" wrapText="1"/>
    </xf>
    <xf numFmtId="207" fontId="0" fillId="0" borderId="34" xfId="0" applyNumberFormat="1" applyBorder="1" applyAlignment="1">
      <alignment horizontal="center" vertical="center" wrapText="1"/>
    </xf>
    <xf numFmtId="49" fontId="151" fillId="0" borderId="34" xfId="0" applyNumberFormat="1" applyFont="1" applyBorder="1" applyAlignment="1">
      <alignment horizontal="center" vertical="center" wrapText="1"/>
    </xf>
    <xf numFmtId="0" fontId="151" fillId="0" borderId="34" xfId="0" applyFont="1" applyBorder="1" applyAlignment="1">
      <alignment horizontal="center" vertical="center" wrapText="1"/>
    </xf>
    <xf numFmtId="3" fontId="151" fillId="0" borderId="34" xfId="0" applyNumberFormat="1" applyFont="1" applyBorder="1" applyAlignment="1">
      <alignment horizontal="center" vertical="center" wrapText="1"/>
    </xf>
    <xf numFmtId="0" fontId="145" fillId="0" borderId="1" xfId="17" applyFont="1" applyBorder="1" applyAlignment="1">
      <alignment horizontal="center" vertical="center" wrapText="1"/>
    </xf>
    <xf numFmtId="0" fontId="0" fillId="0" borderId="0" xfId="400" applyFont="1" applyAlignment="1">
      <alignment horizontal="left" vertical="center" wrapText="1"/>
    </xf>
    <xf numFmtId="0" fontId="166" fillId="0" borderId="6" xfId="13" applyFont="1" applyBorder="1" applyAlignment="1">
      <alignment vertical="center" wrapText="1"/>
    </xf>
    <xf numFmtId="0" fontId="173" fillId="0" borderId="6" xfId="13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74" fillId="0" borderId="0" xfId="17" applyFont="1" applyAlignment="1">
      <alignment horizontal="right" vertical="center" wrapText="1"/>
    </xf>
    <xf numFmtId="0" fontId="174" fillId="0" borderId="0" xfId="17" applyFont="1" applyAlignment="1">
      <alignment horizontal="left" vertical="center" wrapText="1"/>
    </xf>
    <xf numFmtId="0" fontId="135" fillId="0" borderId="6" xfId="0" applyFont="1" applyBorder="1" applyAlignment="1">
      <alignment vertical="center" wrapText="1"/>
    </xf>
    <xf numFmtId="0" fontId="135" fillId="0" borderId="6" xfId="0" applyFont="1" applyBorder="1" applyAlignment="1">
      <alignment horizontal="right" vertical="center" wrapText="1"/>
    </xf>
    <xf numFmtId="49" fontId="135" fillId="0" borderId="6" xfId="0" applyNumberFormat="1" applyFont="1" applyBorder="1" applyAlignment="1">
      <alignment vertical="center" wrapText="1"/>
    </xf>
    <xf numFmtId="0" fontId="139" fillId="0" borderId="0" xfId="402" applyFont="1" applyAlignment="1">
      <alignment horizontal="right" vertical="center" wrapText="1"/>
    </xf>
    <xf numFmtId="204" fontId="10" fillId="0" borderId="34" xfId="0" applyNumberFormat="1" applyFont="1" applyBorder="1" applyAlignment="1">
      <alignment horizontal="center" vertical="center" wrapText="1"/>
    </xf>
    <xf numFmtId="4" fontId="10" fillId="0" borderId="34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1" fontId="0" fillId="0" borderId="1" xfId="0" applyNumberFormat="1" applyBorder="1" applyAlignment="1">
      <alignment wrapText="1"/>
    </xf>
    <xf numFmtId="0" fontId="0" fillId="0" borderId="0" xfId="0" applyAlignment="1">
      <alignment horizontal="center" wrapText="1"/>
    </xf>
    <xf numFmtId="3" fontId="0" fillId="0" borderId="1" xfId="0" applyNumberFormat="1" applyBorder="1" applyAlignment="1">
      <alignment wrapText="1"/>
    </xf>
    <xf numFmtId="9" fontId="0" fillId="0" borderId="0" xfId="26" applyFont="1" applyAlignment="1">
      <alignment wrapText="1"/>
    </xf>
    <xf numFmtId="3" fontId="0" fillId="0" borderId="0" xfId="0" applyNumberFormat="1" applyAlignment="1">
      <alignment horizontal="center" wrapText="1"/>
    </xf>
    <xf numFmtId="0" fontId="13" fillId="0" borderId="0" xfId="0" applyFont="1" applyAlignment="1">
      <alignment wrapText="1"/>
    </xf>
    <xf numFmtId="3" fontId="13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3" fontId="13" fillId="0" borderId="34" xfId="0" applyNumberFormat="1" applyFont="1" applyBorder="1" applyAlignment="1">
      <alignment vertical="center" wrapText="1"/>
    </xf>
    <xf numFmtId="3" fontId="13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3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3" fontId="13" fillId="0" borderId="0" xfId="0" applyNumberFormat="1" applyFont="1" applyAlignment="1">
      <alignment horizontal="center" vertical="center" wrapText="1"/>
    </xf>
    <xf numFmtId="173" fontId="0" fillId="0" borderId="0" xfId="0" applyNumberFormat="1" applyAlignment="1">
      <alignment vertical="center" wrapText="1"/>
    </xf>
    <xf numFmtId="3" fontId="151" fillId="10" borderId="1" xfId="0" applyNumberFormat="1" applyFont="1" applyFill="1" applyBorder="1" applyAlignment="1">
      <alignment vertical="center" wrapText="1"/>
    </xf>
    <xf numFmtId="169" fontId="151" fillId="9" borderId="1" xfId="0" applyNumberFormat="1" applyFont="1" applyFill="1" applyBorder="1" applyAlignment="1">
      <alignment wrapText="1"/>
    </xf>
    <xf numFmtId="2" fontId="0" fillId="0" borderId="34" xfId="0" applyNumberFormat="1" applyBorder="1" applyAlignment="1">
      <alignment horizontal="center" vertical="center" wrapText="1"/>
    </xf>
    <xf numFmtId="0" fontId="13" fillId="54" borderId="34" xfId="0" applyFont="1" applyFill="1" applyBorder="1" applyAlignment="1">
      <alignment horizontal="center" vertical="center" wrapText="1"/>
    </xf>
    <xf numFmtId="0" fontId="138" fillId="54" borderId="34" xfId="408" applyFont="1" applyFill="1" applyBorder="1" applyAlignment="1">
      <alignment horizontal="center" vertical="center" wrapText="1"/>
    </xf>
    <xf numFmtId="17" fontId="0" fillId="0" borderId="34" xfId="0" applyNumberFormat="1" applyBorder="1" applyAlignment="1">
      <alignment horizontal="center" vertical="center" wrapText="1"/>
    </xf>
    <xf numFmtId="17" fontId="0" fillId="0" borderId="34" xfId="0" applyNumberFormat="1" applyBorder="1" applyAlignment="1">
      <alignment horizontal="left" vertical="center" wrapText="1"/>
    </xf>
    <xf numFmtId="0" fontId="151" fillId="9" borderId="74" xfId="0" applyFont="1" applyFill="1" applyBorder="1" applyAlignment="1">
      <alignment horizontal="center" vertical="center" wrapText="1"/>
    </xf>
    <xf numFmtId="0" fontId="151" fillId="9" borderId="75" xfId="0" applyFont="1" applyFill="1" applyBorder="1" applyAlignment="1">
      <alignment horizontal="center" vertical="center" wrapText="1"/>
    </xf>
    <xf numFmtId="3" fontId="151" fillId="9" borderId="76" xfId="0" applyNumberFormat="1" applyFont="1" applyFill="1" applyBorder="1" applyAlignment="1">
      <alignment horizontal="center" vertical="center" wrapText="1"/>
    </xf>
    <xf numFmtId="3" fontId="151" fillId="2" borderId="34" xfId="400" applyNumberFormat="1" applyFont="1" applyFill="1" applyBorder="1" applyAlignment="1">
      <alignment horizontal="center" vertical="center" wrapText="1"/>
    </xf>
    <xf numFmtId="0" fontId="11" fillId="9" borderId="65" xfId="400" applyFill="1" applyBorder="1" applyAlignment="1">
      <alignment horizontal="center" vertical="center" wrapText="1"/>
    </xf>
    <xf numFmtId="0" fontId="170" fillId="8" borderId="69" xfId="400" applyFont="1" applyFill="1" applyBorder="1" applyAlignment="1">
      <alignment horizontal="left" wrapText="1"/>
    </xf>
    <xf numFmtId="3" fontId="170" fillId="8" borderId="69" xfId="400" applyNumberFormat="1" applyFont="1" applyFill="1" applyBorder="1" applyAlignment="1">
      <alignment horizontal="center" wrapText="1"/>
    </xf>
    <xf numFmtId="9" fontId="170" fillId="0" borderId="69" xfId="400" applyNumberFormat="1" applyFont="1" applyBorder="1" applyAlignment="1">
      <alignment horizontal="center" wrapText="1"/>
    </xf>
    <xf numFmtId="0" fontId="170" fillId="8" borderId="34" xfId="400" applyFont="1" applyFill="1" applyBorder="1" applyAlignment="1">
      <alignment horizontal="left" wrapText="1"/>
    </xf>
    <xf numFmtId="0" fontId="170" fillId="8" borderId="34" xfId="400" applyFont="1" applyFill="1" applyBorder="1" applyAlignment="1">
      <alignment horizontal="center" wrapText="1"/>
    </xf>
    <xf numFmtId="0" fontId="170" fillId="0" borderId="34" xfId="400" applyFont="1" applyBorder="1" applyAlignment="1">
      <alignment horizontal="center" wrapText="1"/>
    </xf>
    <xf numFmtId="3" fontId="170" fillId="0" borderId="34" xfId="400" applyNumberFormat="1" applyFont="1" applyBorder="1" applyAlignment="1">
      <alignment horizontal="center" wrapText="1"/>
    </xf>
    <xf numFmtId="9" fontId="0" fillId="8" borderId="34" xfId="26" applyFont="1" applyFill="1" applyBorder="1" applyAlignment="1">
      <alignment horizontal="center" vertical="center" wrapText="1"/>
    </xf>
    <xf numFmtId="0" fontId="175" fillId="0" borderId="0" xfId="409" applyFont="1" applyFill="1"/>
    <xf numFmtId="0" fontId="118" fillId="0" borderId="0" xfId="408" applyFill="1"/>
    <xf numFmtId="0" fontId="118" fillId="0" borderId="0" xfId="408" applyFill="1" applyAlignment="1">
      <alignment wrapText="1"/>
    </xf>
    <xf numFmtId="213" fontId="158" fillId="0" borderId="0" xfId="408" applyNumberFormat="1" applyFont="1" applyFill="1" applyAlignment="1">
      <alignment horizontal="center" vertical="top"/>
    </xf>
    <xf numFmtId="3" fontId="157" fillId="0" borderId="0" xfId="408" applyNumberFormat="1" applyFont="1" applyFill="1" applyAlignment="1">
      <alignment horizontal="left" vertical="top"/>
    </xf>
    <xf numFmtId="3" fontId="179" fillId="0" borderId="0" xfId="408" applyNumberFormat="1" applyFont="1" applyFill="1" applyAlignment="1">
      <alignment horizontal="right" vertical="top"/>
    </xf>
    <xf numFmtId="3" fontId="156" fillId="0" borderId="0" xfId="408" applyNumberFormat="1" applyFont="1" applyFill="1" applyAlignment="1">
      <alignment horizontal="left" vertical="top"/>
    </xf>
    <xf numFmtId="3" fontId="179" fillId="0" borderId="0" xfId="408" applyNumberFormat="1" applyFont="1" applyFill="1" applyAlignment="1">
      <alignment horizontal="right"/>
    </xf>
    <xf numFmtId="3" fontId="158" fillId="0" borderId="0" xfId="408" applyNumberFormat="1" applyFont="1" applyFill="1" applyAlignment="1"/>
    <xf numFmtId="3" fontId="29" fillId="0" borderId="0" xfId="408" applyNumberFormat="1" applyFont="1" applyFill="1" applyAlignment="1"/>
    <xf numFmtId="3" fontId="180" fillId="0" borderId="0" xfId="408" applyNumberFormat="1" applyFont="1" applyFill="1" applyAlignment="1">
      <alignment horizontal="right" vertical="center"/>
    </xf>
    <xf numFmtId="3" fontId="159" fillId="0" borderId="34" xfId="408" applyNumberFormat="1" applyFont="1" applyFill="1" applyBorder="1" applyAlignment="1">
      <alignment horizontal="center" vertical="top"/>
    </xf>
    <xf numFmtId="3" fontId="159" fillId="0" borderId="0" xfId="408" applyNumberFormat="1" applyFont="1" applyFill="1" applyAlignment="1">
      <alignment horizontal="right" vertical="top"/>
    </xf>
    <xf numFmtId="213" fontId="159" fillId="0" borderId="34" xfId="408" applyNumberFormat="1" applyFont="1" applyFill="1" applyBorder="1" applyAlignment="1">
      <alignment horizontal="center" vertical="center" wrapText="1"/>
    </xf>
    <xf numFmtId="3" fontId="159" fillId="0" borderId="34" xfId="408" applyNumberFormat="1" applyFont="1" applyFill="1" applyBorder="1" applyAlignment="1">
      <alignment horizontal="center" vertical="center" wrapText="1"/>
    </xf>
    <xf numFmtId="3" fontId="159" fillId="0" borderId="0" xfId="408" applyNumberFormat="1" applyFont="1" applyFill="1" applyBorder="1" applyAlignment="1">
      <alignment horizontal="center" vertical="center" wrapText="1"/>
    </xf>
    <xf numFmtId="213" fontId="158" fillId="0" borderId="34" xfId="408" applyNumberFormat="1" applyFont="1" applyFill="1" applyBorder="1" applyAlignment="1">
      <alignment horizontal="center" vertical="top" wrapText="1"/>
    </xf>
    <xf numFmtId="2" fontId="118" fillId="0" borderId="34" xfId="408" applyNumberFormat="1" applyFill="1" applyBorder="1"/>
    <xf numFmtId="3" fontId="158" fillId="0" borderId="0" xfId="408" applyNumberFormat="1" applyFont="1" applyFill="1" applyBorder="1"/>
    <xf numFmtId="213" fontId="158" fillId="0" borderId="0" xfId="408" applyNumberFormat="1" applyFont="1" applyFill="1" applyAlignment="1">
      <alignment horizontal="center" vertical="top" wrapText="1"/>
    </xf>
    <xf numFmtId="3" fontId="179" fillId="0" borderId="0" xfId="408" applyNumberFormat="1" applyFont="1" applyFill="1" applyAlignment="1">
      <alignment horizontal="right" vertical="top" wrapText="1"/>
    </xf>
    <xf numFmtId="3" fontId="158" fillId="0" borderId="0" xfId="408" applyNumberFormat="1" applyFont="1" applyFill="1"/>
    <xf numFmtId="213" fontId="158" fillId="0" borderId="0" xfId="408" applyNumberFormat="1" applyFont="1" applyFill="1" applyBorder="1" applyAlignment="1">
      <alignment horizontal="center" vertical="top" wrapText="1"/>
    </xf>
    <xf numFmtId="2" fontId="118" fillId="0" borderId="0" xfId="408" applyNumberFormat="1" applyFill="1" applyBorder="1"/>
    <xf numFmtId="3" fontId="159" fillId="9" borderId="0" xfId="408" applyNumberFormat="1" applyFont="1" applyFill="1" applyAlignment="1">
      <alignment horizontal="center" vertical="top" wrapText="1"/>
    </xf>
    <xf numFmtId="0" fontId="7" fillId="0" borderId="3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 wrapText="1"/>
    </xf>
    <xf numFmtId="0" fontId="14" fillId="0" borderId="0" xfId="1" applyAlignment="1">
      <alignment horizontal="center" vertical="center"/>
    </xf>
    <xf numFmtId="3" fontId="14" fillId="0" borderId="0" xfId="1" applyNumberFormat="1" applyAlignment="1">
      <alignment horizontal="center" vertical="center"/>
    </xf>
    <xf numFmtId="3" fontId="14" fillId="0" borderId="80" xfId="1" applyNumberForma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83" fillId="0" borderId="0" xfId="410" applyAlignment="1">
      <alignment horizontal="center" vertical="center"/>
    </xf>
    <xf numFmtId="0" fontId="182" fillId="0" borderId="80" xfId="1" applyFont="1" applyFill="1" applyBorder="1" applyAlignment="1">
      <alignment horizontal="left" vertical="center" wrapText="1"/>
    </xf>
    <xf numFmtId="0" fontId="181" fillId="0" borderId="80" xfId="1" applyFont="1" applyFill="1" applyBorder="1" applyAlignment="1">
      <alignment horizontal="center" vertical="center" wrapText="1"/>
    </xf>
    <xf numFmtId="0" fontId="181" fillId="0" borderId="80" xfId="1" applyFont="1" applyFill="1" applyBorder="1" applyAlignment="1">
      <alignment horizontal="left" vertical="center" wrapText="1"/>
    </xf>
    <xf numFmtId="0" fontId="14" fillId="0" borderId="0" xfId="1" applyFill="1" applyAlignment="1">
      <alignment horizontal="center" vertical="center"/>
    </xf>
    <xf numFmtId="0" fontId="14" fillId="0" borderId="34" xfId="1" applyBorder="1" applyAlignment="1">
      <alignment horizontal="center" vertical="center" wrapText="1"/>
    </xf>
    <xf numFmtId="3" fontId="14" fillId="0" borderId="34" xfId="1" applyNumberFormat="1" applyBorder="1" applyAlignment="1">
      <alignment horizontal="center" vertical="center" wrapText="1"/>
    </xf>
    <xf numFmtId="0" fontId="17" fillId="54" borderId="34" xfId="1" applyFont="1" applyFill="1" applyBorder="1" applyAlignment="1">
      <alignment horizontal="center" vertical="center" wrapText="1"/>
    </xf>
    <xf numFmtId="0" fontId="140" fillId="0" borderId="0" xfId="405" applyAlignment="1">
      <alignment horizontal="center" vertical="center" wrapText="1"/>
    </xf>
    <xf numFmtId="0" fontId="140" fillId="0" borderId="0" xfId="405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54" fillId="0" borderId="81" xfId="405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 wrapText="1"/>
    </xf>
    <xf numFmtId="215" fontId="0" fillId="8" borderId="1" xfId="0" applyNumberFormat="1" applyFill="1" applyBorder="1" applyAlignment="1">
      <alignment horizontal="center" vertical="center" wrapText="1"/>
    </xf>
    <xf numFmtId="5" fontId="0" fillId="0" borderId="1" xfId="0" applyNumberFormat="1" applyBorder="1" applyAlignment="1">
      <alignment horizontal="center" vertical="center" wrapText="1"/>
    </xf>
    <xf numFmtId="0" fontId="13" fillId="57" borderId="34" xfId="0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vertical="center" wrapText="1"/>
    </xf>
    <xf numFmtId="0" fontId="134" fillId="0" borderId="34" xfId="0" applyFont="1" applyBorder="1" applyAlignment="1">
      <alignment horizontal="center" vertical="center" wrapText="1"/>
    </xf>
    <xf numFmtId="0" fontId="140" fillId="0" borderId="0" xfId="405" applyAlignment="1">
      <alignment horizontal="center" vertical="center" wrapText="1"/>
    </xf>
    <xf numFmtId="49" fontId="5" fillId="8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 wrapText="1" indent="1"/>
    </xf>
    <xf numFmtId="4" fontId="5" fillId="8" borderId="1" xfId="304" applyNumberFormat="1" applyFont="1" applyFill="1" applyBorder="1" applyAlignment="1">
      <alignment horizontal="center" vertical="center" wrapText="1"/>
    </xf>
    <xf numFmtId="4" fontId="0" fillId="8" borderId="1" xfId="304" applyNumberFormat="1" applyFont="1" applyFill="1" applyBorder="1" applyAlignment="1">
      <alignment horizontal="center" vertical="center" wrapText="1"/>
    </xf>
    <xf numFmtId="3" fontId="0" fillId="8" borderId="1" xfId="304" applyNumberFormat="1" applyFont="1" applyFill="1" applyBorder="1" applyAlignment="1">
      <alignment horizontal="center" vertical="center" wrapText="1"/>
    </xf>
    <xf numFmtId="0" fontId="0" fillId="8" borderId="0" xfId="0" applyFill="1"/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0" fontId="143" fillId="0" borderId="0" xfId="0" applyFont="1" applyAlignment="1">
      <alignment horizontal="center" vertical="center" wrapText="1"/>
    </xf>
    <xf numFmtId="0" fontId="144" fillId="54" borderId="1" xfId="0" applyFont="1" applyFill="1" applyBorder="1" applyAlignment="1">
      <alignment horizontal="center" vertical="center" wrapText="1"/>
    </xf>
    <xf numFmtId="0" fontId="143" fillId="0" borderId="1" xfId="0" applyFont="1" applyBorder="1" applyAlignment="1">
      <alignment horizontal="center" vertical="center" wrapText="1"/>
    </xf>
    <xf numFmtId="0" fontId="143" fillId="0" borderId="1" xfId="0" applyFont="1" applyBorder="1" applyAlignment="1">
      <alignment horizontal="left" vertical="center" wrapText="1"/>
    </xf>
    <xf numFmtId="0" fontId="185" fillId="0" borderId="0" xfId="0" applyFont="1" applyAlignment="1">
      <alignment horizontal="center" vertical="center" wrapText="1"/>
    </xf>
    <xf numFmtId="9" fontId="143" fillId="0" borderId="1" xfId="0" applyNumberFormat="1" applyFont="1" applyBorder="1" applyAlignment="1">
      <alignment horizontal="center" vertical="center" wrapText="1"/>
    </xf>
    <xf numFmtId="3" fontId="143" fillId="0" borderId="1" xfId="0" applyNumberFormat="1" applyFont="1" applyBorder="1" applyAlignment="1">
      <alignment horizontal="center" vertical="center" wrapText="1"/>
    </xf>
    <xf numFmtId="0" fontId="142" fillId="0" borderId="1" xfId="0" applyFont="1" applyBorder="1" applyAlignment="1">
      <alignment horizontal="center" vertical="center" wrapText="1"/>
    </xf>
    <xf numFmtId="0" fontId="143" fillId="0" borderId="83" xfId="0" applyFont="1" applyBorder="1" applyAlignment="1">
      <alignment horizontal="left" vertical="center" wrapText="1"/>
    </xf>
    <xf numFmtId="0" fontId="144" fillId="0" borderId="1" xfId="0" applyFont="1" applyBorder="1" applyAlignment="1">
      <alignment horizontal="center" vertical="center" wrapText="1"/>
    </xf>
    <xf numFmtId="0" fontId="144" fillId="0" borderId="83" xfId="0" applyFont="1" applyBorder="1" applyAlignment="1">
      <alignment horizontal="left" vertical="center" wrapText="1"/>
    </xf>
    <xf numFmtId="3" fontId="144" fillId="0" borderId="1" xfId="0" applyNumberFormat="1" applyFont="1" applyBorder="1" applyAlignment="1">
      <alignment horizontal="center" vertical="center" wrapText="1"/>
    </xf>
    <xf numFmtId="0" fontId="187" fillId="0" borderId="1" xfId="0" applyFont="1" applyBorder="1" applyAlignment="1">
      <alignment horizontal="center" vertical="center" wrapText="1"/>
    </xf>
    <xf numFmtId="0" fontId="188" fillId="0" borderId="1" xfId="0" applyFont="1" applyBorder="1" applyAlignment="1">
      <alignment horizontal="center" vertical="center" wrapText="1"/>
    </xf>
    <xf numFmtId="3" fontId="188" fillId="0" borderId="1" xfId="0" applyNumberFormat="1" applyFont="1" applyBorder="1" applyAlignment="1">
      <alignment horizontal="center" vertical="center" wrapText="1"/>
    </xf>
    <xf numFmtId="4" fontId="188" fillId="0" borderId="1" xfId="0" applyNumberFormat="1" applyFont="1" applyBorder="1" applyAlignment="1">
      <alignment horizontal="center" vertical="center" wrapText="1"/>
    </xf>
    <xf numFmtId="0" fontId="188" fillId="0" borderId="1" xfId="0" applyFont="1" applyFill="1" applyBorder="1" applyAlignment="1">
      <alignment horizontal="center" vertical="center" wrapText="1"/>
    </xf>
    <xf numFmtId="0" fontId="188" fillId="0" borderId="1" xfId="0" applyFont="1" applyBorder="1" applyAlignment="1">
      <alignment horizontal="left" vertical="center" wrapText="1"/>
    </xf>
    <xf numFmtId="3" fontId="0" fillId="8" borderId="1" xfId="0" applyNumberFormat="1" applyFill="1" applyBorder="1" applyAlignment="1">
      <alignment horizontal="center" vertical="center" wrapText="1"/>
    </xf>
    <xf numFmtId="3" fontId="0" fillId="8" borderId="83" xfId="0" applyNumberFormat="1" applyFill="1" applyBorder="1" applyAlignment="1">
      <alignment horizontal="center" vertical="center" wrapText="1"/>
    </xf>
    <xf numFmtId="0" fontId="140" fillId="0" borderId="0" xfId="405" applyFill="1"/>
    <xf numFmtId="216" fontId="0" fillId="0" borderId="1" xfId="0" applyNumberFormat="1" applyBorder="1" applyAlignment="1">
      <alignment horizontal="center" vertical="center" wrapText="1"/>
    </xf>
    <xf numFmtId="0" fontId="151" fillId="61" borderId="1" xfId="0" applyFont="1" applyFill="1" applyBorder="1" applyAlignment="1">
      <alignment horizontal="center" vertical="center" wrapText="1"/>
    </xf>
    <xf numFmtId="0" fontId="189" fillId="61" borderId="1" xfId="0" applyFont="1" applyFill="1" applyBorder="1" applyAlignment="1">
      <alignment horizontal="left" vertical="center" wrapText="1"/>
    </xf>
    <xf numFmtId="0" fontId="189" fillId="61" borderId="1" xfId="0" applyFont="1" applyFill="1" applyBorder="1" applyAlignment="1">
      <alignment horizontal="center" vertical="center" wrapText="1"/>
    </xf>
    <xf numFmtId="9" fontId="151" fillId="61" borderId="1" xfId="0" applyNumberFormat="1" applyFont="1" applyFill="1" applyBorder="1" applyAlignment="1">
      <alignment horizontal="center" vertical="center" wrapText="1"/>
    </xf>
    <xf numFmtId="5" fontId="151" fillId="61" borderId="1" xfId="0" applyNumberFormat="1" applyFont="1" applyFill="1" applyBorder="1" applyAlignment="1">
      <alignment horizontal="center" vertical="center" wrapText="1"/>
    </xf>
    <xf numFmtId="0" fontId="140" fillId="0" borderId="1" xfId="405" applyBorder="1" applyAlignment="1">
      <alignment horizontal="center" vertical="center" wrapText="1"/>
    </xf>
    <xf numFmtId="0" fontId="140" fillId="0" borderId="1" xfId="405" quotePrefix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48" fillId="0" borderId="0" xfId="0" applyFont="1" applyAlignment="1">
      <alignment horizontal="center" vertical="center" wrapText="1"/>
    </xf>
    <xf numFmtId="0" fontId="143" fillId="0" borderId="0" xfId="0" applyFont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1" xfId="0" applyBorder="1"/>
    <xf numFmtId="0" fontId="0" fillId="0" borderId="83" xfId="0" applyBorder="1" applyAlignment="1">
      <alignment horizontal="center" vertical="center" wrapText="1"/>
    </xf>
    <xf numFmtId="0" fontId="0" fillId="8" borderId="83" xfId="0" applyFill="1" applyBorder="1" applyAlignment="1">
      <alignment horizontal="left" vertical="center" wrapText="1"/>
    </xf>
    <xf numFmtId="9" fontId="0" fillId="0" borderId="0" xfId="0" applyNumberFormat="1"/>
    <xf numFmtId="0" fontId="143" fillId="0" borderId="0" xfId="0" applyFont="1" applyAlignment="1">
      <alignment horizontal="center" vertical="center" wrapText="1"/>
    </xf>
    <xf numFmtId="0" fontId="188" fillId="0" borderId="1" xfId="0" applyFont="1" applyBorder="1" applyAlignment="1">
      <alignment horizontal="left" vertical="center" wrapText="1"/>
    </xf>
    <xf numFmtId="0" fontId="151" fillId="54" borderId="1" xfId="0" applyFont="1" applyFill="1" applyBorder="1" applyAlignment="1">
      <alignment horizontal="center" vertical="center" wrapText="1"/>
    </xf>
    <xf numFmtId="0" fontId="151" fillId="7" borderId="0" xfId="0" applyFont="1" applyFill="1" applyAlignment="1">
      <alignment horizontal="center" vertical="center" wrapText="1"/>
    </xf>
    <xf numFmtId="3" fontId="151" fillId="7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206" fontId="151" fillId="61" borderId="1" xfId="0" applyNumberFormat="1" applyFont="1" applyFill="1" applyBorder="1" applyAlignment="1">
      <alignment horizontal="center" vertical="center" wrapText="1"/>
    </xf>
    <xf numFmtId="0" fontId="190" fillId="0" borderId="83" xfId="0" applyFont="1" applyBorder="1" applyAlignment="1">
      <alignment horizontal="left" vertical="center" wrapText="1"/>
    </xf>
    <xf numFmtId="0" fontId="190" fillId="0" borderId="83" xfId="0" applyFont="1" applyBorder="1" applyAlignment="1">
      <alignment horizontal="center" vertical="center" wrapText="1"/>
    </xf>
    <xf numFmtId="3" fontId="190" fillId="0" borderId="83" xfId="0" applyNumberFormat="1" applyFont="1" applyBorder="1" applyAlignment="1">
      <alignment horizontal="center" vertical="center" wrapText="1"/>
    </xf>
    <xf numFmtId="9" fontId="190" fillId="0" borderId="83" xfId="26" applyFont="1" applyBorder="1" applyAlignment="1">
      <alignment horizontal="center" vertical="center" wrapText="1"/>
    </xf>
    <xf numFmtId="0" fontId="190" fillId="0" borderId="1" xfId="0" applyFont="1" applyBorder="1" applyAlignment="1">
      <alignment horizontal="left" vertical="center" wrapText="1"/>
    </xf>
    <xf numFmtId="3" fontId="190" fillId="0" borderId="1" xfId="0" applyNumberFormat="1" applyFont="1" applyBorder="1" applyAlignment="1">
      <alignment horizontal="center" vertical="center" wrapText="1"/>
    </xf>
    <xf numFmtId="0" fontId="190" fillId="0" borderId="1" xfId="0" applyFont="1" applyBorder="1" applyAlignment="1">
      <alignment horizontal="center" vertical="center" wrapText="1"/>
    </xf>
    <xf numFmtId="0" fontId="143" fillId="9" borderId="1" xfId="0" applyFont="1" applyFill="1" applyBorder="1" applyAlignment="1">
      <alignment horizontal="center" vertical="center" wrapText="1"/>
    </xf>
    <xf numFmtId="0" fontId="144" fillId="9" borderId="83" xfId="0" applyFont="1" applyFill="1" applyBorder="1" applyAlignment="1">
      <alignment horizontal="left" vertical="center" wrapText="1"/>
    </xf>
    <xf numFmtId="0" fontId="144" fillId="9" borderId="83" xfId="0" applyFont="1" applyFill="1" applyBorder="1" applyAlignment="1">
      <alignment horizontal="center" vertical="center" wrapText="1"/>
    </xf>
    <xf numFmtId="3" fontId="144" fillId="9" borderId="83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204" fontId="5" fillId="8" borderId="1" xfId="304" applyNumberFormat="1" applyFont="1" applyFill="1" applyBorder="1" applyAlignment="1">
      <alignment horizontal="center" vertical="center" wrapText="1"/>
    </xf>
    <xf numFmtId="3" fontId="5" fillId="8" borderId="1" xfId="304" applyNumberFormat="1" applyFont="1" applyFill="1" applyBorder="1" applyAlignment="1">
      <alignment horizontal="center" vertical="center" wrapText="1"/>
    </xf>
    <xf numFmtId="3" fontId="0" fillId="8" borderId="1" xfId="0" applyNumberFormat="1" applyFill="1" applyBorder="1" applyAlignment="1">
      <alignment horizontal="center"/>
    </xf>
    <xf numFmtId="0" fontId="192" fillId="0" borderId="0" xfId="0" applyFont="1" applyAlignment="1">
      <alignment horizontal="center" vertical="center" wrapText="1"/>
    </xf>
    <xf numFmtId="3" fontId="192" fillId="0" borderId="0" xfId="0" applyNumberFormat="1" applyFont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13" fillId="7" borderId="34" xfId="0" applyFont="1" applyFill="1" applyBorder="1" applyAlignment="1">
      <alignment horizontal="center" vertical="center"/>
    </xf>
    <xf numFmtId="3" fontId="13" fillId="7" borderId="34" xfId="0" applyNumberFormat="1" applyFont="1" applyFill="1" applyBorder="1" applyAlignment="1">
      <alignment horizontal="center" vertical="center"/>
    </xf>
    <xf numFmtId="0" fontId="24" fillId="0" borderId="34" xfId="0" applyFont="1" applyBorder="1" applyAlignment="1">
      <alignment vertical="center" wrapText="1"/>
    </xf>
    <xf numFmtId="4" fontId="0" fillId="8" borderId="83" xfId="304" applyNumberFormat="1" applyFont="1" applyFill="1" applyBorder="1" applyAlignment="1">
      <alignment horizontal="center" vertical="center" wrapText="1"/>
    </xf>
    <xf numFmtId="3" fontId="0" fillId="8" borderId="83" xfId="304" applyNumberFormat="1" applyFont="1" applyFill="1" applyBorder="1" applyAlignment="1">
      <alignment horizontal="center" vertical="center" wrapText="1"/>
    </xf>
    <xf numFmtId="0" fontId="140" fillId="0" borderId="0" xfId="405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3" fontId="0" fillId="0" borderId="0" xfId="0" applyNumberFormat="1"/>
    <xf numFmtId="0" fontId="187" fillId="0" borderId="34" xfId="0" applyFont="1" applyBorder="1" applyAlignment="1">
      <alignment horizontal="center" vertical="center" wrapText="1"/>
    </xf>
    <xf numFmtId="0" fontId="188" fillId="0" borderId="34" xfId="0" applyFont="1" applyBorder="1" applyAlignment="1">
      <alignment horizontal="center" vertical="center" wrapText="1"/>
    </xf>
    <xf numFmtId="3" fontId="188" fillId="0" borderId="34" xfId="0" applyNumberFormat="1" applyFont="1" applyBorder="1" applyAlignment="1">
      <alignment horizontal="center" vertical="center" wrapText="1"/>
    </xf>
    <xf numFmtId="4" fontId="188" fillId="0" borderId="34" xfId="0" applyNumberFormat="1" applyFont="1" applyBorder="1" applyAlignment="1">
      <alignment horizontal="center" vertical="center" wrapText="1"/>
    </xf>
    <xf numFmtId="0" fontId="188" fillId="0" borderId="34" xfId="0" applyFont="1" applyFill="1" applyBorder="1" applyAlignment="1">
      <alignment horizontal="center" vertical="center" wrapText="1"/>
    </xf>
    <xf numFmtId="0" fontId="188" fillId="0" borderId="34" xfId="0" applyFont="1" applyBorder="1" applyAlignment="1">
      <alignment horizontal="left" vertical="center" wrapText="1"/>
    </xf>
    <xf numFmtId="0" fontId="143" fillId="0" borderId="34" xfId="0" applyFont="1" applyBorder="1" applyAlignment="1">
      <alignment horizontal="center" vertical="center" wrapText="1"/>
    </xf>
    <xf numFmtId="0" fontId="190" fillId="0" borderId="34" xfId="0" applyFont="1" applyBorder="1" applyAlignment="1">
      <alignment horizontal="center" vertical="center" wrapText="1"/>
    </xf>
    <xf numFmtId="3" fontId="143" fillId="0" borderId="34" xfId="0" applyNumberFormat="1" applyFont="1" applyBorder="1" applyAlignment="1">
      <alignment horizontal="center" vertical="center" wrapText="1"/>
    </xf>
    <xf numFmtId="0" fontId="193" fillId="9" borderId="34" xfId="0" applyFont="1" applyFill="1" applyBorder="1" applyAlignment="1">
      <alignment horizontal="center" vertical="center" wrapText="1"/>
    </xf>
    <xf numFmtId="3" fontId="193" fillId="9" borderId="34" xfId="0" applyNumberFormat="1" applyFont="1" applyFill="1" applyBorder="1" applyAlignment="1">
      <alignment horizontal="center" vertical="center" wrapText="1"/>
    </xf>
    <xf numFmtId="0" fontId="13" fillId="54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46" fillId="0" borderId="87" xfId="17" applyFont="1" applyBorder="1" applyAlignment="1">
      <alignment horizontal="center" vertical="center" wrapText="1"/>
    </xf>
    <xf numFmtId="0" fontId="146" fillId="8" borderId="87" xfId="17" applyFont="1" applyFill="1" applyBorder="1" applyAlignment="1">
      <alignment horizontal="center" vertical="center" wrapText="1"/>
    </xf>
    <xf numFmtId="3" fontId="146" fillId="6" borderId="87" xfId="17" applyNumberFormat="1" applyFont="1" applyFill="1" applyBorder="1" applyAlignment="1">
      <alignment horizontal="center" vertical="center" wrapText="1"/>
    </xf>
    <xf numFmtId="3" fontId="146" fillId="0" borderId="87" xfId="17" applyNumberFormat="1" applyFont="1" applyBorder="1" applyAlignment="1">
      <alignment horizontal="center" vertical="center" wrapText="1"/>
    </xf>
    <xf numFmtId="3" fontId="146" fillId="0" borderId="88" xfId="17" applyNumberFormat="1" applyFont="1" applyBorder="1" applyAlignment="1">
      <alignment horizontal="center" vertical="center" wrapText="1"/>
    </xf>
    <xf numFmtId="4" fontId="0" fillId="7" borderId="34" xfId="0" applyNumberFormat="1" applyFill="1" applyBorder="1" applyAlignment="1">
      <alignment horizontal="center" vertical="center" wrapText="1"/>
    </xf>
    <xf numFmtId="3" fontId="0" fillId="7" borderId="34" xfId="0" applyNumberFormat="1" applyFill="1" applyBorder="1" applyAlignment="1">
      <alignment horizontal="center" vertical="center" wrapText="1"/>
    </xf>
    <xf numFmtId="0" fontId="151" fillId="54" borderId="34" xfId="0" applyFont="1" applyFill="1" applyBorder="1" applyAlignment="1">
      <alignment horizontal="center" vertical="center" wrapText="1"/>
    </xf>
    <xf numFmtId="0" fontId="151" fillId="6" borderId="34" xfId="0" applyFont="1" applyFill="1" applyBorder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140" fillId="0" borderId="0" xfId="405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13" fillId="54" borderId="3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34" xfId="0" applyFont="1" applyFill="1" applyBorder="1" applyAlignment="1">
      <alignment horizontal="left" vertical="center" wrapText="1"/>
    </xf>
    <xf numFmtId="0" fontId="24" fillId="0" borderId="34" xfId="0" applyFont="1" applyBorder="1" applyAlignment="1">
      <alignment horizontal="left" vertical="center" wrapText="1"/>
    </xf>
    <xf numFmtId="0" fontId="24" fillId="0" borderId="34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0" xfId="17" applyFont="1" applyAlignment="1">
      <alignment horizontal="center" vertical="center" wrapText="1"/>
    </xf>
    <xf numFmtId="0" fontId="13" fillId="0" borderId="34" xfId="17" applyFont="1" applyBorder="1" applyAlignment="1">
      <alignment horizontal="center" vertical="center" wrapText="1"/>
    </xf>
    <xf numFmtId="0" fontId="188" fillId="0" borderId="0" xfId="17" applyFont="1" applyAlignment="1">
      <alignment horizontal="center" vertical="center" wrapText="1"/>
    </xf>
    <xf numFmtId="0" fontId="151" fillId="0" borderId="34" xfId="17" applyFont="1" applyBorder="1" applyAlignment="1">
      <alignment horizontal="center" vertical="center" wrapText="1"/>
    </xf>
    <xf numFmtId="217" fontId="148" fillId="9" borderId="34" xfId="17" applyNumberFormat="1" applyFont="1" applyFill="1" applyBorder="1" applyAlignment="1">
      <alignment horizontal="center" vertical="center" wrapText="1"/>
    </xf>
    <xf numFmtId="0" fontId="24" fillId="0" borderId="34" xfId="17" applyFont="1" applyBorder="1" applyAlignment="1">
      <alignment horizontal="center" vertical="center" wrapText="1"/>
    </xf>
    <xf numFmtId="49" fontId="24" fillId="0" borderId="34" xfId="17" applyNumberFormat="1" applyBorder="1" applyAlignment="1">
      <alignment horizontal="center" vertical="center" wrapText="1"/>
    </xf>
    <xf numFmtId="3" fontId="24" fillId="0" borderId="34" xfId="17" applyNumberFormat="1" applyFont="1" applyBorder="1" applyAlignment="1">
      <alignment horizontal="center" vertical="center" wrapText="1"/>
    </xf>
    <xf numFmtId="0" fontId="24" fillId="0" borderId="89" xfId="17" applyFont="1" applyBorder="1" applyAlignment="1">
      <alignment horizontal="center" vertical="center" wrapText="1"/>
    </xf>
    <xf numFmtId="0" fontId="24" fillId="0" borderId="28" xfId="17" applyFont="1" applyFill="1" applyBorder="1" applyAlignment="1">
      <alignment horizontal="center" vertical="center" wrapText="1"/>
    </xf>
    <xf numFmtId="0" fontId="24" fillId="0" borderId="0" xfId="17" applyFont="1" applyBorder="1" applyAlignment="1">
      <alignment horizontal="center" vertical="center" wrapText="1"/>
    </xf>
    <xf numFmtId="0" fontId="188" fillId="0" borderId="34" xfId="17" applyFont="1" applyBorder="1" applyAlignment="1">
      <alignment horizontal="center" vertical="center" wrapText="1"/>
    </xf>
    <xf numFmtId="0" fontId="188" fillId="0" borderId="0" xfId="17" applyFont="1" applyFill="1" applyBorder="1" applyAlignment="1">
      <alignment horizontal="center" vertical="center" wrapText="1"/>
    </xf>
    <xf numFmtId="0" fontId="24" fillId="9" borderId="0" xfId="17" applyFill="1" applyAlignment="1">
      <alignment horizontal="center" vertical="center" wrapText="1"/>
    </xf>
    <xf numFmtId="0" fontId="188" fillId="9" borderId="0" xfId="17" applyFont="1" applyFill="1" applyAlignment="1">
      <alignment horizontal="center" vertical="center" wrapText="1"/>
    </xf>
    <xf numFmtId="0" fontId="188" fillId="9" borderId="0" xfId="17" applyFont="1" applyFill="1" applyBorder="1" applyAlignment="1">
      <alignment horizontal="center" vertical="center" wrapText="1"/>
    </xf>
    <xf numFmtId="0" fontId="197" fillId="0" borderId="0" xfId="17" applyFont="1" applyAlignment="1">
      <alignment horizontal="center" vertical="center" wrapText="1"/>
    </xf>
    <xf numFmtId="0" fontId="24" fillId="0" borderId="34" xfId="17" applyBorder="1" applyAlignment="1">
      <alignment horizontal="center" vertical="center" wrapText="1"/>
    </xf>
    <xf numFmtId="0" fontId="198" fillId="0" borderId="0" xfId="17" applyFont="1" applyAlignment="1">
      <alignment horizontal="center" vertical="center" wrapText="1"/>
    </xf>
    <xf numFmtId="0" fontId="24" fillId="0" borderId="0" xfId="17" applyBorder="1" applyAlignment="1">
      <alignment horizontal="center" vertical="center" wrapText="1"/>
    </xf>
    <xf numFmtId="0" fontId="199" fillId="0" borderId="0" xfId="17" applyFont="1" applyBorder="1" applyAlignment="1">
      <alignment horizontal="center" vertical="center" wrapText="1"/>
    </xf>
    <xf numFmtId="1" fontId="13" fillId="9" borderId="34" xfId="17" applyNumberFormat="1" applyFont="1" applyFill="1" applyBorder="1" applyAlignment="1">
      <alignment horizontal="center" vertical="center" wrapText="1"/>
    </xf>
    <xf numFmtId="49" fontId="24" fillId="0" borderId="34" xfId="17" applyNumberFormat="1" applyFont="1" applyBorder="1" applyAlignment="1">
      <alignment horizontal="center" vertical="center" wrapText="1"/>
    </xf>
    <xf numFmtId="0" fontId="24" fillId="0" borderId="0" xfId="17" applyFont="1" applyAlignment="1">
      <alignment horizontal="center" vertical="center" wrapText="1"/>
    </xf>
    <xf numFmtId="0" fontId="13" fillId="9" borderId="34" xfId="17" applyFont="1" applyFill="1" applyBorder="1" applyAlignment="1">
      <alignment horizontal="center" vertical="center" wrapText="1"/>
    </xf>
    <xf numFmtId="0" fontId="32" fillId="0" borderId="0" xfId="17" applyFont="1" applyAlignment="1">
      <alignment horizontal="center" vertical="center" wrapText="1"/>
    </xf>
    <xf numFmtId="0" fontId="32" fillId="0" borderId="0" xfId="17" applyFont="1" applyFill="1" applyBorder="1" applyAlignment="1">
      <alignment horizontal="center" vertical="center" wrapText="1"/>
    </xf>
    <xf numFmtId="1" fontId="24" fillId="0" borderId="34" xfId="17" applyNumberFormat="1" applyFont="1" applyBorder="1" applyAlignment="1">
      <alignment horizontal="center" vertical="center" wrapText="1"/>
    </xf>
    <xf numFmtId="1" fontId="24" fillId="0" borderId="0" xfId="17" applyNumberFormat="1" applyFont="1" applyAlignment="1">
      <alignment horizontal="center" vertical="center" wrapText="1"/>
    </xf>
    <xf numFmtId="207" fontId="24" fillId="0" borderId="0" xfId="17" applyNumberFormat="1" applyFont="1" applyAlignment="1">
      <alignment horizontal="center" vertical="center" wrapText="1"/>
    </xf>
    <xf numFmtId="49" fontId="199" fillId="0" borderId="34" xfId="17" applyNumberFormat="1" applyFont="1" applyBorder="1" applyAlignment="1">
      <alignment horizontal="center" vertical="center" wrapText="1"/>
    </xf>
    <xf numFmtId="0" fontId="199" fillId="0" borderId="34" xfId="17" applyFont="1" applyBorder="1" applyAlignment="1">
      <alignment horizontal="center" vertical="center" wrapText="1"/>
    </xf>
    <xf numFmtId="0" fontId="199" fillId="0" borderId="89" xfId="17" applyFont="1" applyBorder="1" applyAlignment="1">
      <alignment horizontal="center" vertical="center" wrapText="1"/>
    </xf>
    <xf numFmtId="0" fontId="199" fillId="0" borderId="0" xfId="17" applyFont="1" applyAlignment="1">
      <alignment horizontal="center" vertical="center" wrapText="1"/>
    </xf>
    <xf numFmtId="0" fontId="200" fillId="0" borderId="34" xfId="17" applyFont="1" applyBorder="1" applyAlignment="1">
      <alignment horizontal="center" vertical="center" wrapText="1"/>
    </xf>
    <xf numFmtId="0" fontId="201" fillId="0" borderId="0" xfId="17" applyFont="1" applyAlignment="1">
      <alignment horizontal="center" vertical="center" wrapText="1"/>
    </xf>
    <xf numFmtId="0" fontId="32" fillId="0" borderId="34" xfId="17" applyFont="1" applyBorder="1" applyAlignment="1">
      <alignment horizontal="center" vertical="center" wrapText="1"/>
    </xf>
    <xf numFmtId="1" fontId="24" fillId="0" borderId="0" xfId="17" applyNumberFormat="1" applyAlignment="1">
      <alignment horizontal="center" vertical="center" wrapText="1"/>
    </xf>
    <xf numFmtId="0" fontId="151" fillId="0" borderId="34" xfId="17" applyFont="1" applyBorder="1" applyAlignment="1">
      <alignment horizontal="left" vertical="center" wrapText="1"/>
    </xf>
    <xf numFmtId="0" fontId="24" fillId="0" borderId="34" xfId="17" applyFont="1" applyBorder="1" applyAlignment="1">
      <alignment horizontal="left" vertical="center" wrapText="1"/>
    </xf>
    <xf numFmtId="0" fontId="24" fillId="0" borderId="28" xfId="17" applyFont="1" applyFill="1" applyBorder="1" applyAlignment="1">
      <alignment horizontal="left" vertical="center" wrapText="1"/>
    </xf>
    <xf numFmtId="3" fontId="188" fillId="0" borderId="0" xfId="17" applyNumberFormat="1" applyFont="1" applyAlignment="1">
      <alignment horizontal="center" vertical="center" wrapText="1"/>
    </xf>
    <xf numFmtId="3" fontId="188" fillId="9" borderId="0" xfId="17" applyNumberFormat="1" applyFont="1" applyFill="1" applyAlignment="1">
      <alignment horizontal="center" vertical="center" wrapText="1"/>
    </xf>
    <xf numFmtId="3" fontId="197" fillId="0" borderId="0" xfId="17" applyNumberFormat="1" applyFont="1" applyAlignment="1">
      <alignment horizontal="center" vertical="center" wrapText="1"/>
    </xf>
    <xf numFmtId="3" fontId="0" fillId="8" borderId="94" xfId="0" applyNumberFormat="1" applyFill="1" applyBorder="1" applyAlignment="1">
      <alignment horizontal="center" vertical="center" wrapText="1"/>
    </xf>
    <xf numFmtId="0" fontId="0" fillId="8" borderId="94" xfId="0" applyFill="1" applyBorder="1" applyAlignment="1">
      <alignment horizontal="left" vertical="center" wrapText="1"/>
    </xf>
    <xf numFmtId="0" fontId="0" fillId="0" borderId="94" xfId="0" applyBorder="1" applyAlignment="1">
      <alignment horizontal="center" vertical="center" wrapText="1"/>
    </xf>
    <xf numFmtId="42" fontId="0" fillId="8" borderId="34" xfId="0" applyNumberFormat="1" applyFill="1" applyBorder="1" applyAlignment="1">
      <alignment horizontal="center" vertical="center" wrapText="1"/>
    </xf>
    <xf numFmtId="5" fontId="0" fillId="0" borderId="34" xfId="0" applyNumberForma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8" borderId="95" xfId="0" applyFill="1" applyBorder="1" applyAlignment="1">
      <alignment horizontal="left" vertical="center" wrapText="1"/>
    </xf>
    <xf numFmtId="0" fontId="0" fillId="0" borderId="96" xfId="0" applyBorder="1"/>
    <xf numFmtId="0" fontId="170" fillId="0" borderId="96" xfId="0" applyFont="1" applyBorder="1"/>
    <xf numFmtId="3" fontId="170" fillId="0" borderId="96" xfId="0" applyNumberFormat="1" applyFont="1" applyBorder="1" applyAlignment="1">
      <alignment horizontal="center"/>
    </xf>
    <xf numFmtId="0" fontId="0" fillId="0" borderId="70" xfId="0" applyBorder="1"/>
    <xf numFmtId="0" fontId="170" fillId="8" borderId="70" xfId="0" applyFont="1" applyFill="1" applyBorder="1" applyAlignment="1">
      <alignment horizontal="left" vertical="center" wrapText="1"/>
    </xf>
    <xf numFmtId="3" fontId="170" fillId="0" borderId="70" xfId="0" applyNumberFormat="1" applyFont="1" applyBorder="1" applyAlignment="1">
      <alignment horizontal="center"/>
    </xf>
    <xf numFmtId="3" fontId="10" fillId="0" borderId="97" xfId="0" applyNumberFormat="1" applyFont="1" applyBorder="1" applyAlignment="1">
      <alignment horizontal="center" vertical="center" wrapText="1"/>
    </xf>
    <xf numFmtId="9" fontId="10" fillId="0" borderId="34" xfId="26" applyFont="1" applyBorder="1" applyAlignment="1">
      <alignment horizontal="center" vertical="center" wrapText="1"/>
    </xf>
    <xf numFmtId="9" fontId="148" fillId="7" borderId="34" xfId="0" applyNumberFormat="1" applyFont="1" applyFill="1" applyBorder="1" applyAlignment="1">
      <alignment horizontal="center" vertical="center" wrapText="1"/>
    </xf>
    <xf numFmtId="0" fontId="146" fillId="0" borderId="0" xfId="17" applyFont="1" applyAlignment="1">
      <alignment horizontal="right" vertical="center" wrapText="1"/>
    </xf>
    <xf numFmtId="3" fontId="202" fillId="54" borderId="0" xfId="17" applyNumberFormat="1" applyFont="1" applyFill="1" applyAlignment="1">
      <alignment horizontal="center" vertical="center" wrapText="1"/>
    </xf>
    <xf numFmtId="42" fontId="13" fillId="10" borderId="1" xfId="0" applyNumberFormat="1" applyFont="1" applyFill="1" applyBorder="1" applyAlignment="1">
      <alignment horizontal="center" vertical="center" wrapText="1"/>
    </xf>
    <xf numFmtId="17" fontId="0" fillId="0" borderId="0" xfId="0" applyNumberFormat="1" applyAlignment="1">
      <alignment horizontal="left" vertical="center" wrapText="1"/>
    </xf>
    <xf numFmtId="0" fontId="148" fillId="10" borderId="98" xfId="0" applyFont="1" applyFill="1" applyBorder="1" applyAlignment="1">
      <alignment horizontal="left" vertical="center" wrapText="1"/>
    </xf>
    <xf numFmtId="0" fontId="148" fillId="10" borderId="98" xfId="0" applyFont="1" applyFill="1" applyBorder="1" applyAlignment="1">
      <alignment horizontal="center" vertical="center" wrapText="1"/>
    </xf>
    <xf numFmtId="3" fontId="148" fillId="10" borderId="98" xfId="0" applyNumberFormat="1" applyFont="1" applyFill="1" applyBorder="1" applyAlignment="1">
      <alignment horizontal="center" vertical="center" wrapText="1"/>
    </xf>
    <xf numFmtId="0" fontId="148" fillId="9" borderId="65" xfId="0" applyFont="1" applyFill="1" applyBorder="1" applyAlignment="1">
      <alignment horizontal="center" wrapText="1"/>
    </xf>
    <xf numFmtId="0" fontId="148" fillId="9" borderId="4" xfId="0" applyFont="1" applyFill="1" applyBorder="1" applyAlignment="1">
      <alignment horizontal="center" wrapText="1"/>
    </xf>
    <xf numFmtId="3" fontId="148" fillId="9" borderId="4" xfId="0" applyNumberFormat="1" applyFont="1" applyFill="1" applyBorder="1" applyAlignment="1">
      <alignment horizontal="center" wrapText="1"/>
    </xf>
    <xf numFmtId="0" fontId="148" fillId="9" borderId="58" xfId="0" applyFont="1" applyFill="1" applyBorder="1" applyAlignment="1">
      <alignment horizontal="center" wrapText="1"/>
    </xf>
    <xf numFmtId="17" fontId="0" fillId="0" borderId="97" xfId="0" applyNumberFormat="1" applyBorder="1" applyAlignment="1">
      <alignment horizontal="center" vertical="center" wrapText="1"/>
    </xf>
    <xf numFmtId="3" fontId="0" fillId="0" borderId="97" xfId="0" applyNumberFormat="1" applyBorder="1" applyAlignment="1">
      <alignment horizontal="center" vertical="center" wrapText="1"/>
    </xf>
    <xf numFmtId="0" fontId="151" fillId="54" borderId="101" xfId="0" applyFont="1" applyFill="1" applyBorder="1" applyAlignment="1">
      <alignment horizontal="center" vertical="center" wrapText="1"/>
    </xf>
    <xf numFmtId="0" fontId="151" fillId="54" borderId="73" xfId="0" applyFont="1" applyFill="1" applyBorder="1" applyAlignment="1">
      <alignment horizontal="center" vertical="center" wrapText="1"/>
    </xf>
    <xf numFmtId="3" fontId="151" fillId="0" borderId="101" xfId="0" applyNumberFormat="1" applyFont="1" applyBorder="1" applyAlignment="1">
      <alignment horizontal="center" vertical="center" wrapText="1"/>
    </xf>
    <xf numFmtId="0" fontId="151" fillId="0" borderId="73" xfId="0" applyFont="1" applyBorder="1" applyAlignment="1">
      <alignment horizontal="center" vertical="center" wrapText="1"/>
    </xf>
    <xf numFmtId="3" fontId="151" fillId="6" borderId="101" xfId="0" applyNumberFormat="1" applyFont="1" applyFill="1" applyBorder="1" applyAlignment="1">
      <alignment horizontal="center" vertical="center" wrapText="1"/>
    </xf>
    <xf numFmtId="3" fontId="151" fillId="6" borderId="34" xfId="0" applyNumberFormat="1" applyFont="1" applyFill="1" applyBorder="1" applyAlignment="1">
      <alignment horizontal="center" vertical="center" wrapText="1"/>
    </xf>
    <xf numFmtId="3" fontId="151" fillId="6" borderId="7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left" vertical="center" wrapText="1"/>
    </xf>
    <xf numFmtId="49" fontId="151" fillId="0" borderId="34" xfId="0" applyNumberFormat="1" applyFont="1" applyBorder="1" applyAlignment="1">
      <alignment horizontal="left" vertical="center" wrapText="1"/>
    </xf>
    <xf numFmtId="0" fontId="151" fillId="54" borderId="34" xfId="0" applyFont="1" applyFill="1" applyBorder="1" applyAlignment="1">
      <alignment horizontal="left" vertical="center" wrapText="1"/>
    </xf>
    <xf numFmtId="1" fontId="13" fillId="6" borderId="34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17" fillId="54" borderId="34" xfId="1" applyFont="1" applyFill="1" applyBorder="1" applyAlignment="1">
      <alignment horizontal="left" vertical="center" wrapText="1"/>
    </xf>
    <xf numFmtId="0" fontId="14" fillId="0" borderId="34" xfId="1" applyBorder="1" applyAlignment="1">
      <alignment horizontal="left" vertical="center" wrapText="1"/>
    </xf>
    <xf numFmtId="0" fontId="182" fillId="0" borderId="102" xfId="1" applyFont="1" applyFill="1" applyBorder="1" applyAlignment="1">
      <alignment horizontal="center" vertical="center" wrapText="1"/>
    </xf>
    <xf numFmtId="0" fontId="14" fillId="0" borderId="0" xfId="1" applyAlignment="1">
      <alignment vertical="center" wrapText="1"/>
    </xf>
    <xf numFmtId="0" fontId="17" fillId="0" borderId="34" xfId="1" applyFont="1" applyBorder="1" applyAlignment="1">
      <alignment horizontal="left" vertical="center" wrapText="1"/>
    </xf>
    <xf numFmtId="0" fontId="17" fillId="0" borderId="34" xfId="1" applyFont="1" applyBorder="1" applyAlignment="1">
      <alignment horizontal="center" vertical="center" wrapText="1"/>
    </xf>
    <xf numFmtId="3" fontId="17" fillId="9" borderId="34" xfId="1" applyNumberFormat="1" applyFont="1" applyFill="1" applyBorder="1" applyAlignment="1">
      <alignment horizontal="center" vertical="center" wrapText="1"/>
    </xf>
    <xf numFmtId="3" fontId="17" fillId="10" borderId="0" xfId="1" applyNumberFormat="1" applyFont="1" applyFill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167" fillId="0" borderId="34" xfId="0" applyFont="1" applyBorder="1" applyAlignment="1">
      <alignment horizontal="left" vertical="center" wrapText="1"/>
    </xf>
    <xf numFmtId="0" fontId="148" fillId="0" borderId="34" xfId="0" applyFont="1" applyBorder="1" applyAlignment="1">
      <alignment horizontal="right" vertical="center" wrapText="1"/>
    </xf>
    <xf numFmtId="0" fontId="148" fillId="0" borderId="34" xfId="0" applyFont="1" applyBorder="1" applyAlignment="1">
      <alignment horizontal="center" vertical="center" wrapText="1"/>
    </xf>
    <xf numFmtId="3" fontId="148" fillId="0" borderId="34" xfId="0" applyNumberFormat="1" applyFont="1" applyBorder="1" applyAlignment="1">
      <alignment horizontal="center" vertical="center" wrapText="1"/>
    </xf>
    <xf numFmtId="0" fontId="148" fillId="54" borderId="34" xfId="0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166" fillId="0" borderId="34" xfId="0" applyFont="1" applyBorder="1" applyAlignment="1">
      <alignment horizontal="left" vertical="center" wrapText="1"/>
    </xf>
    <xf numFmtId="0" fontId="166" fillId="0" borderId="34" xfId="0" applyFont="1" applyBorder="1" applyAlignment="1">
      <alignment horizontal="center" vertical="center" wrapText="1"/>
    </xf>
    <xf numFmtId="3" fontId="166" fillId="0" borderId="34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28" fillId="6" borderId="34" xfId="0" applyFont="1" applyFill="1" applyBorder="1" applyAlignment="1">
      <alignment horizontal="center" vertical="center" wrapText="1"/>
    </xf>
    <xf numFmtId="49" fontId="139" fillId="0" borderId="0" xfId="408" applyNumberFormat="1" applyFont="1" applyAlignment="1">
      <alignment horizontal="left" vertical="center" wrapText="1"/>
    </xf>
    <xf numFmtId="0" fontId="139" fillId="0" borderId="0" xfId="408" applyFont="1" applyAlignment="1">
      <alignment horizontal="right" vertical="center" wrapText="1"/>
    </xf>
    <xf numFmtId="204" fontId="139" fillId="0" borderId="41" xfId="408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49" fontId="0" fillId="0" borderId="0" xfId="0" applyNumberFormat="1"/>
    <xf numFmtId="0" fontId="190" fillId="0" borderId="0" xfId="0" applyFont="1" applyAlignment="1">
      <alignment horizontal="right" wrapText="1"/>
    </xf>
    <xf numFmtId="49" fontId="190" fillId="0" borderId="0" xfId="0" applyNumberFormat="1" applyFont="1" applyAlignment="1">
      <alignment wrapText="1"/>
    </xf>
    <xf numFmtId="0" fontId="193" fillId="9" borderId="34" xfId="0" applyFont="1" applyFill="1" applyBorder="1" applyAlignment="1">
      <alignment horizontal="right" vertical="center" wrapText="1"/>
    </xf>
    <xf numFmtId="0" fontId="143" fillId="0" borderId="34" xfId="0" applyFont="1" applyBorder="1" applyAlignment="1">
      <alignment horizontal="right" vertical="center" wrapText="1"/>
    </xf>
    <xf numFmtId="49" fontId="24" fillId="0" borderId="6" xfId="0" applyNumberFormat="1" applyFont="1" applyBorder="1" applyAlignment="1">
      <alignment vertical="center" wrapText="1"/>
    </xf>
    <xf numFmtId="0" fontId="24" fillId="0" borderId="6" xfId="0" applyFont="1" applyBorder="1" applyAlignment="1">
      <alignment horizontal="right" vertical="center" wrapText="1"/>
    </xf>
    <xf numFmtId="0" fontId="24" fillId="0" borderId="6" xfId="0" applyFont="1" applyBorder="1" applyAlignment="1">
      <alignment horizontal="left" vertical="center" wrapText="1"/>
    </xf>
    <xf numFmtId="49" fontId="24" fillId="0" borderId="100" xfId="0" applyNumberFormat="1" applyFont="1" applyBorder="1" applyAlignment="1">
      <alignment horizontal="center" vertical="center" wrapText="1"/>
    </xf>
    <xf numFmtId="0" fontId="24" fillId="0" borderId="100" xfId="0" applyFont="1" applyBorder="1" applyAlignment="1">
      <alignment vertical="center" wrapText="1"/>
    </xf>
    <xf numFmtId="0" fontId="24" fillId="0" borderId="34" xfId="0" applyFont="1" applyBorder="1" applyAlignment="1">
      <alignment horizontal="center" vertical="center" wrapText="1"/>
    </xf>
    <xf numFmtId="3" fontId="24" fillId="0" borderId="34" xfId="0" applyNumberFormat="1" applyFont="1" applyBorder="1" applyAlignment="1">
      <alignment horizontal="center" vertical="center" wrapText="1"/>
    </xf>
    <xf numFmtId="49" fontId="151" fillId="0" borderId="99" xfId="0" applyNumberFormat="1" applyFont="1" applyBorder="1" applyAlignment="1">
      <alignment horizontal="center" vertical="center" wrapText="1"/>
    </xf>
    <xf numFmtId="0" fontId="151" fillId="0" borderId="99" xfId="0" applyFont="1" applyBorder="1" applyAlignment="1">
      <alignment vertical="center" wrapText="1"/>
    </xf>
    <xf numFmtId="3" fontId="151" fillId="7" borderId="0" xfId="0" applyNumberFormat="1" applyFont="1" applyFill="1" applyAlignment="1">
      <alignment vertical="center" wrapText="1"/>
    </xf>
    <xf numFmtId="0" fontId="13" fillId="54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right" wrapText="1"/>
    </xf>
    <xf numFmtId="0" fontId="1" fillId="0" borderId="34" xfId="0" applyFont="1" applyBorder="1" applyAlignment="1">
      <alignment horizontal="center" vertical="center" wrapText="1"/>
    </xf>
    <xf numFmtId="207" fontId="0" fillId="9" borderId="1" xfId="0" applyNumberFormat="1" applyFill="1" applyBorder="1" applyAlignment="1">
      <alignment horizontal="center" vertical="center" wrapText="1"/>
    </xf>
    <xf numFmtId="0" fontId="148" fillId="0" borderId="6" xfId="0" applyFont="1" applyBorder="1" applyAlignment="1">
      <alignment horizontal="center" vertical="center" wrapText="1"/>
    </xf>
    <xf numFmtId="0" fontId="151" fillId="54" borderId="34" xfId="0" applyFont="1" applyFill="1" applyBorder="1" applyAlignment="1">
      <alignment horizontal="center" vertical="center" wrapText="1"/>
    </xf>
    <xf numFmtId="0" fontId="151" fillId="0" borderId="0" xfId="0" applyFont="1" applyAlignment="1">
      <alignment horizontal="center" vertical="center" wrapText="1"/>
    </xf>
    <xf numFmtId="0" fontId="151" fillId="6" borderId="34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5" fillId="0" borderId="6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13" fillId="6" borderId="40" xfId="0" applyFont="1" applyFill="1" applyBorder="1" applyAlignment="1">
      <alignment horizontal="center" vertical="center" wrapText="1"/>
    </xf>
    <xf numFmtId="0" fontId="13" fillId="6" borderId="39" xfId="0" applyFont="1" applyFill="1" applyBorder="1" applyAlignment="1">
      <alignment horizontal="center" vertical="center" wrapText="1"/>
    </xf>
    <xf numFmtId="0" fontId="13" fillId="6" borderId="38" xfId="0" applyFont="1" applyFill="1" applyBorder="1" applyAlignment="1">
      <alignment horizontal="center" vertical="center" wrapText="1"/>
    </xf>
    <xf numFmtId="0" fontId="169" fillId="0" borderId="70" xfId="0" applyFont="1" applyBorder="1" applyAlignment="1">
      <alignment horizontal="center" vertical="center" wrapText="1"/>
    </xf>
    <xf numFmtId="0" fontId="148" fillId="0" borderId="0" xfId="0" applyFont="1" applyAlignment="1">
      <alignment horizontal="center" vertical="center" wrapText="1"/>
    </xf>
    <xf numFmtId="0" fontId="148" fillId="0" borderId="70" xfId="0" applyFont="1" applyBorder="1" applyAlignment="1">
      <alignment horizontal="center" vertical="center" wrapText="1"/>
    </xf>
    <xf numFmtId="0" fontId="196" fillId="0" borderId="0" xfId="17" applyFont="1" applyAlignment="1">
      <alignment horizontal="center" vertical="center" wrapText="1"/>
    </xf>
    <xf numFmtId="0" fontId="24" fillId="0" borderId="90" xfId="17" applyFont="1" applyBorder="1" applyAlignment="1">
      <alignment horizontal="center" vertical="center" wrapText="1"/>
    </xf>
    <xf numFmtId="0" fontId="24" fillId="0" borderId="91" xfId="17" applyFont="1" applyBorder="1" applyAlignment="1">
      <alignment horizontal="center" vertical="center" wrapText="1"/>
    </xf>
    <xf numFmtId="0" fontId="24" fillId="0" borderId="92" xfId="17" applyFont="1" applyBorder="1" applyAlignment="1">
      <alignment horizontal="center" vertical="center" wrapText="1"/>
    </xf>
    <xf numFmtId="0" fontId="24" fillId="0" borderId="82" xfId="17" applyFont="1" applyBorder="1" applyAlignment="1">
      <alignment horizontal="center" vertical="center" wrapText="1"/>
    </xf>
    <xf numFmtId="0" fontId="24" fillId="0" borderId="70" xfId="17" applyFont="1" applyBorder="1" applyAlignment="1">
      <alignment horizontal="center" vertical="center" wrapText="1"/>
    </xf>
    <xf numFmtId="0" fontId="24" fillId="0" borderId="93" xfId="17" applyFont="1" applyBorder="1" applyAlignment="1">
      <alignment horizontal="center" vertical="center" wrapText="1"/>
    </xf>
    <xf numFmtId="0" fontId="13" fillId="0" borderId="0" xfId="17" applyFont="1" applyAlignment="1">
      <alignment horizontal="center" vertical="center" wrapText="1"/>
    </xf>
    <xf numFmtId="0" fontId="13" fillId="60" borderId="52" xfId="400" applyFont="1" applyFill="1" applyBorder="1" applyAlignment="1">
      <alignment horizontal="center" vertical="center" wrapText="1"/>
    </xf>
    <xf numFmtId="0" fontId="13" fillId="60" borderId="68" xfId="400" applyFont="1" applyFill="1" applyBorder="1" applyAlignment="1">
      <alignment horizontal="center" vertical="center" wrapText="1"/>
    </xf>
    <xf numFmtId="0" fontId="13" fillId="60" borderId="53" xfId="400" applyFont="1" applyFill="1" applyBorder="1" applyAlignment="1">
      <alignment horizontal="center" vertical="center" wrapText="1"/>
    </xf>
    <xf numFmtId="0" fontId="13" fillId="60" borderId="54" xfId="400" applyFont="1" applyFill="1" applyBorder="1" applyAlignment="1">
      <alignment horizontal="center" vertical="center" wrapText="1"/>
    </xf>
    <xf numFmtId="0" fontId="135" fillId="0" borderId="6" xfId="400" applyFont="1" applyBorder="1" applyAlignment="1">
      <alignment horizontal="center" vertical="center" wrapText="1"/>
    </xf>
    <xf numFmtId="0" fontId="151" fillId="0" borderId="4" xfId="400" applyFont="1" applyBorder="1" applyAlignment="1">
      <alignment horizontal="center" vertical="center" wrapText="1"/>
    </xf>
    <xf numFmtId="0" fontId="151" fillId="0" borderId="58" xfId="400" applyFont="1" applyBorder="1" applyAlignment="1">
      <alignment horizontal="center" vertical="center" wrapText="1"/>
    </xf>
    <xf numFmtId="0" fontId="135" fillId="8" borderId="70" xfId="0" applyFont="1" applyFill="1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166" fillId="0" borderId="34" xfId="13" applyFont="1" applyBorder="1" applyAlignment="1">
      <alignment horizontal="left" vertical="center" wrapText="1"/>
    </xf>
    <xf numFmtId="0" fontId="9" fillId="0" borderId="0" xfId="13" applyFont="1" applyAlignment="1">
      <alignment horizontal="center" vertical="center" wrapText="1"/>
    </xf>
    <xf numFmtId="0" fontId="169" fillId="0" borderId="6" xfId="13" applyFont="1" applyBorder="1" applyAlignment="1">
      <alignment horizontal="center" vertical="center" wrapText="1"/>
    </xf>
    <xf numFmtId="0" fontId="166" fillId="0" borderId="56" xfId="13" applyFont="1" applyBorder="1" applyAlignment="1">
      <alignment horizontal="left" vertical="center" wrapText="1"/>
    </xf>
    <xf numFmtId="0" fontId="166" fillId="0" borderId="41" xfId="13" applyFont="1" applyBorder="1" applyAlignment="1">
      <alignment horizontal="left" vertical="center" wrapText="1"/>
    </xf>
    <xf numFmtId="0" fontId="181" fillId="0" borderId="80" xfId="1" applyFont="1" applyFill="1" applyBorder="1" applyAlignment="1">
      <alignment horizontal="center" vertical="center" wrapText="1"/>
    </xf>
    <xf numFmtId="0" fontId="17" fillId="0" borderId="0" xfId="1" applyFont="1" applyAlignment="1">
      <alignment horizontal="center" vertical="center"/>
    </xf>
    <xf numFmtId="0" fontId="203" fillId="0" borderId="70" xfId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45" fillId="0" borderId="4" xfId="17" applyFont="1" applyBorder="1" applyAlignment="1">
      <alignment horizontal="center" vertical="center" wrapText="1"/>
    </xf>
    <xf numFmtId="0" fontId="148" fillId="0" borderId="0" xfId="0" applyFont="1" applyBorder="1" applyAlignment="1">
      <alignment horizontal="left" vertical="center" wrapText="1"/>
    </xf>
    <xf numFmtId="0" fontId="145" fillId="58" borderId="48" xfId="17" applyFont="1" applyFill="1" applyBorder="1" applyAlignment="1">
      <alignment horizontal="center" vertical="center" wrapText="1"/>
    </xf>
    <xf numFmtId="0" fontId="145" fillId="58" borderId="49" xfId="17" applyFont="1" applyFill="1" applyBorder="1" applyAlignment="1">
      <alignment horizontal="center" vertical="center" wrapText="1"/>
    </xf>
    <xf numFmtId="0" fontId="145" fillId="0" borderId="0" xfId="17" applyFont="1" applyAlignment="1">
      <alignment horizontal="center" vertical="center" wrapText="1"/>
    </xf>
    <xf numFmtId="0" fontId="145" fillId="0" borderId="43" xfId="17" applyFont="1" applyBorder="1" applyAlignment="1">
      <alignment horizontal="center" vertical="center" wrapText="1"/>
    </xf>
    <xf numFmtId="0" fontId="145" fillId="0" borderId="46" xfId="17" applyFont="1" applyBorder="1" applyAlignment="1">
      <alignment horizontal="center" vertical="center" wrapText="1"/>
    </xf>
    <xf numFmtId="0" fontId="145" fillId="0" borderId="44" xfId="17" applyFont="1" applyBorder="1" applyAlignment="1">
      <alignment horizontal="center" vertical="center" wrapText="1"/>
    </xf>
    <xf numFmtId="0" fontId="145" fillId="0" borderId="1" xfId="17" applyFont="1" applyBorder="1" applyAlignment="1">
      <alignment horizontal="center" vertical="center" wrapText="1"/>
    </xf>
    <xf numFmtId="0" fontId="145" fillId="0" borderId="45" xfId="17" applyFont="1" applyBorder="1" applyAlignment="1">
      <alignment horizontal="center" vertical="center" wrapText="1"/>
    </xf>
    <xf numFmtId="0" fontId="145" fillId="0" borderId="47" xfId="17" applyFont="1" applyBorder="1" applyAlignment="1">
      <alignment horizontal="center" vertical="center" wrapText="1"/>
    </xf>
    <xf numFmtId="0" fontId="138" fillId="0" borderId="0" xfId="402" applyFont="1" applyAlignment="1">
      <alignment horizontal="center" vertical="center" wrapText="1"/>
    </xf>
    <xf numFmtId="0" fontId="171" fillId="0" borderId="70" xfId="402" applyFont="1" applyBorder="1" applyAlignment="1">
      <alignment horizontal="center" vertical="center" wrapText="1"/>
    </xf>
    <xf numFmtId="0" fontId="138" fillId="54" borderId="1" xfId="402" applyFont="1" applyFill="1" applyBorder="1" applyAlignment="1">
      <alignment horizontal="center" vertical="center" wrapText="1"/>
    </xf>
    <xf numFmtId="0" fontId="138" fillId="54" borderId="34" xfId="402" applyFont="1" applyFill="1" applyBorder="1" applyAlignment="1">
      <alignment horizontal="center" vertical="center" wrapText="1"/>
    </xf>
    <xf numFmtId="0" fontId="138" fillId="8" borderId="29" xfId="402" applyFont="1" applyFill="1" applyBorder="1" applyAlignment="1">
      <alignment horizontal="center" vertical="center" wrapText="1"/>
    </xf>
    <xf numFmtId="0" fontId="138" fillId="8" borderId="7" xfId="402" applyFont="1" applyFill="1" applyBorder="1" applyAlignment="1">
      <alignment horizontal="center" vertical="center" wrapText="1"/>
    </xf>
    <xf numFmtId="0" fontId="138" fillId="8" borderId="40" xfId="402" applyFont="1" applyFill="1" applyBorder="1" applyAlignment="1">
      <alignment horizontal="center" vertical="center" wrapText="1"/>
    </xf>
    <xf numFmtId="0" fontId="151" fillId="0" borderId="6" xfId="0" applyFont="1" applyBorder="1" applyAlignment="1">
      <alignment horizontal="center" vertical="center" wrapText="1"/>
    </xf>
    <xf numFmtId="0" fontId="135" fillId="0" borderId="0" xfId="0" applyFont="1" applyAlignment="1">
      <alignment horizontal="center" vertical="center" wrapText="1"/>
    </xf>
    <xf numFmtId="0" fontId="28" fillId="51" borderId="42" xfId="0" applyFont="1" applyFill="1" applyBorder="1" applyAlignment="1">
      <alignment horizontal="left" vertical="center" wrapText="1"/>
    </xf>
    <xf numFmtId="0" fontId="28" fillId="51" borderId="41" xfId="0" applyFont="1" applyFill="1" applyBorder="1" applyAlignment="1">
      <alignment horizontal="left" vertical="center" wrapText="1"/>
    </xf>
    <xf numFmtId="3" fontId="0" fillId="0" borderId="72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69" xfId="0" applyNumberFormat="1" applyBorder="1" applyAlignment="1">
      <alignment horizontal="center" vertical="center" wrapText="1"/>
    </xf>
    <xf numFmtId="0" fontId="135" fillId="0" borderId="70" xfId="0" applyFont="1" applyBorder="1" applyAlignment="1">
      <alignment horizontal="center" vertical="center" wrapText="1"/>
    </xf>
    <xf numFmtId="0" fontId="0" fillId="0" borderId="71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3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148" fillId="0" borderId="70" xfId="0" applyFont="1" applyBorder="1" applyAlignment="1">
      <alignment horizontal="center" vertical="center"/>
    </xf>
    <xf numFmtId="0" fontId="13" fillId="53" borderId="6" xfId="0" applyFont="1" applyFill="1" applyBorder="1" applyAlignment="1">
      <alignment horizontal="center" vertical="center" wrapText="1"/>
    </xf>
    <xf numFmtId="0" fontId="13" fillId="54" borderId="34" xfId="0" applyFont="1" applyFill="1" applyBorder="1" applyAlignment="1">
      <alignment horizontal="center" vertical="center" wrapText="1"/>
    </xf>
    <xf numFmtId="0" fontId="13" fillId="54" borderId="34" xfId="0" applyFont="1" applyFill="1" applyBorder="1" applyAlignment="1">
      <alignment horizontal="left" vertical="center" wrapText="1"/>
    </xf>
    <xf numFmtId="0" fontId="13" fillId="54" borderId="84" xfId="0" applyFont="1" applyFill="1" applyBorder="1" applyAlignment="1">
      <alignment horizontal="center" vertical="center" wrapText="1"/>
    </xf>
    <xf numFmtId="0" fontId="13" fillId="54" borderId="85" xfId="0" applyFont="1" applyFill="1" applyBorder="1" applyAlignment="1">
      <alignment horizontal="center" vertical="center" wrapText="1"/>
    </xf>
    <xf numFmtId="0" fontId="13" fillId="54" borderId="86" xfId="0" applyFont="1" applyFill="1" applyBorder="1" applyAlignment="1">
      <alignment horizontal="center" vertical="center" wrapText="1"/>
    </xf>
    <xf numFmtId="0" fontId="171" fillId="0" borderId="70" xfId="408" applyFont="1" applyBorder="1" applyAlignment="1">
      <alignment horizontal="center" vertical="center" wrapText="1"/>
    </xf>
    <xf numFmtId="4" fontId="118" fillId="0" borderId="34" xfId="408" applyNumberFormat="1" applyFill="1" applyBorder="1" applyAlignment="1">
      <alignment horizontal="center"/>
    </xf>
    <xf numFmtId="0" fontId="118" fillId="0" borderId="34" xfId="408" applyFill="1" applyBorder="1" applyAlignment="1">
      <alignment horizontal="center"/>
    </xf>
    <xf numFmtId="3" fontId="48" fillId="0" borderId="34" xfId="408" applyNumberFormat="1" applyFont="1" applyFill="1" applyBorder="1" applyAlignment="1">
      <alignment horizontal="center" vertical="top"/>
    </xf>
    <xf numFmtId="0" fontId="176" fillId="0" borderId="0" xfId="409" applyFont="1" applyFill="1" applyAlignment="1">
      <alignment horizontal="center"/>
    </xf>
    <xf numFmtId="0" fontId="177" fillId="0" borderId="0" xfId="408" applyFont="1" applyFill="1" applyAlignment="1">
      <alignment horizontal="center"/>
    </xf>
    <xf numFmtId="0" fontId="178" fillId="0" borderId="0" xfId="408" applyFont="1" applyFill="1" applyBorder="1" applyAlignment="1">
      <alignment horizontal="center" wrapText="1"/>
    </xf>
    <xf numFmtId="0" fontId="178" fillId="0" borderId="0" xfId="408" applyFont="1" applyFill="1" applyBorder="1" applyAlignment="1">
      <alignment horizontal="left" wrapText="1"/>
    </xf>
    <xf numFmtId="0" fontId="118" fillId="0" borderId="77" xfId="408" applyFill="1" applyBorder="1" applyAlignment="1">
      <alignment horizontal="left" vertical="center" wrapText="1"/>
    </xf>
    <xf numFmtId="0" fontId="118" fillId="0" borderId="78" xfId="408" applyFill="1" applyBorder="1" applyAlignment="1">
      <alignment horizontal="left" vertical="center" wrapText="1"/>
    </xf>
    <xf numFmtId="0" fontId="118" fillId="0" borderId="79" xfId="408" applyFill="1" applyBorder="1" applyAlignment="1">
      <alignment horizontal="left" vertical="center" wrapText="1"/>
    </xf>
    <xf numFmtId="4" fontId="118" fillId="0" borderId="34" xfId="408" applyNumberFormat="1" applyFill="1" applyBorder="1" applyAlignment="1">
      <alignment horizontal="center" wrapText="1"/>
    </xf>
    <xf numFmtId="0" fontId="118" fillId="0" borderId="0" xfId="408" applyFill="1" applyBorder="1" applyAlignment="1">
      <alignment horizontal="left" vertical="center" wrapText="1"/>
    </xf>
    <xf numFmtId="0" fontId="118" fillId="0" borderId="34" xfId="408" applyFill="1" applyBorder="1" applyAlignment="1">
      <alignment horizontal="left" vertical="center" wrapText="1"/>
    </xf>
    <xf numFmtId="0" fontId="13" fillId="0" borderId="77" xfId="0" applyFont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 wrapText="1"/>
    </xf>
    <xf numFmtId="0" fontId="13" fillId="0" borderId="79" xfId="0" applyFont="1" applyBorder="1" applyAlignment="1">
      <alignment horizontal="center" vertical="center" wrapText="1"/>
    </xf>
    <xf numFmtId="0" fontId="135" fillId="0" borderId="82" xfId="0" applyFont="1" applyBorder="1" applyAlignment="1">
      <alignment horizontal="center" vertical="center" wrapText="1"/>
    </xf>
    <xf numFmtId="0" fontId="194" fillId="0" borderId="70" xfId="0" applyFont="1" applyBorder="1" applyAlignment="1">
      <alignment horizontal="center" vertical="center" wrapText="1"/>
    </xf>
    <xf numFmtId="0" fontId="187" fillId="0" borderId="0" xfId="0" applyFont="1" applyBorder="1" applyAlignment="1">
      <alignment horizontal="left" vertical="center" wrapText="1" indent="1"/>
    </xf>
    <xf numFmtId="0" fontId="188" fillId="0" borderId="34" xfId="0" applyFont="1" applyBorder="1" applyAlignment="1">
      <alignment horizontal="left" vertical="center" wrapText="1"/>
    </xf>
    <xf numFmtId="0" fontId="188" fillId="0" borderId="1" xfId="0" applyFont="1" applyBorder="1" applyAlignment="1">
      <alignment horizontal="left" vertical="center" wrapText="1"/>
    </xf>
    <xf numFmtId="0" fontId="0" fillId="9" borderId="34" xfId="0" applyFill="1" applyBorder="1" applyAlignment="1">
      <alignment horizontal="left" vertical="center" wrapText="1"/>
    </xf>
    <xf numFmtId="0" fontId="13" fillId="0" borderId="70" xfId="0" applyFont="1" applyBorder="1" applyAlignment="1">
      <alignment horizontal="center" vertical="center" wrapText="1"/>
    </xf>
  </cellXfs>
  <cellStyles count="411">
    <cellStyle name="_Бюджет ПРОДО 2008" xfId="31" xr:uid="{00000000-0005-0000-0000-000004000000}"/>
    <cellStyle name="_Бюджет ПРОДО 2008_Резюме" xfId="32" xr:uid="{00000000-0005-0000-0000-000005000000}"/>
    <cellStyle name=";;;" xfId="27" xr:uid="{00000000-0005-0000-0000-000000000000}"/>
    <cellStyle name="???????_vaqduGfTSN7qyUJNWHRlcWo3H" xfId="30" xr:uid="{00000000-0005-0000-0000-000003000000}"/>
    <cellStyle name="???????? [0]_vaqduGfTSN7qyUJNWHRlcWo3H" xfId="28" xr:uid="{00000000-0005-0000-0000-000001000000}"/>
    <cellStyle name="????????_vaqduGfTSN7qyUJNWHRlcWo3H" xfId="29" xr:uid="{00000000-0005-0000-0000-000002000000}"/>
    <cellStyle name="0,00;0;" xfId="33" xr:uid="{00000000-0005-0000-0000-000006000000}"/>
    <cellStyle name="1Normal" xfId="34" xr:uid="{00000000-0005-0000-0000-000007000000}"/>
    <cellStyle name="1Outputbox1" xfId="35" xr:uid="{00000000-0005-0000-0000-000008000000}"/>
    <cellStyle name="1Outputbox2" xfId="36" xr:uid="{00000000-0005-0000-0000-000009000000}"/>
    <cellStyle name="1Outputheader" xfId="37" xr:uid="{00000000-0005-0000-0000-00000A000000}"/>
    <cellStyle name="1Outputheader2" xfId="38" xr:uid="{00000000-0005-0000-0000-00000B000000}"/>
    <cellStyle name="1Outputsubtitle" xfId="39" xr:uid="{00000000-0005-0000-0000-00000C000000}"/>
    <cellStyle name="1Outputtitle" xfId="40" xr:uid="{00000000-0005-0000-0000-00000D000000}"/>
    <cellStyle name="1Profileheader" xfId="41" xr:uid="{00000000-0005-0000-0000-00000E000000}"/>
    <cellStyle name="1Profilelowerbox" xfId="42" xr:uid="{00000000-0005-0000-0000-00000F000000}"/>
    <cellStyle name="1Profilesubheader" xfId="43" xr:uid="{00000000-0005-0000-0000-000010000000}"/>
    <cellStyle name="1Profiletitle" xfId="44" xr:uid="{00000000-0005-0000-0000-000011000000}"/>
    <cellStyle name="1Profiletopbox" xfId="45" xr:uid="{00000000-0005-0000-0000-000012000000}"/>
    <cellStyle name="20% - Акцент1 2" xfId="46" xr:uid="{00000000-0005-0000-0000-000013000000}"/>
    <cellStyle name="20% - Акцент1 3" xfId="47" xr:uid="{00000000-0005-0000-0000-000014000000}"/>
    <cellStyle name="20% - Акцент2 2" xfId="48" xr:uid="{00000000-0005-0000-0000-000015000000}"/>
    <cellStyle name="20% - Акцент2 3" xfId="49" xr:uid="{00000000-0005-0000-0000-000016000000}"/>
    <cellStyle name="20% - Акцент3 2" xfId="50" xr:uid="{00000000-0005-0000-0000-000017000000}"/>
    <cellStyle name="20% - Акцент3 3" xfId="51" xr:uid="{00000000-0005-0000-0000-000018000000}"/>
    <cellStyle name="20% - Акцент4 2" xfId="52" xr:uid="{00000000-0005-0000-0000-000019000000}"/>
    <cellStyle name="20% - Акцент4 3" xfId="53" xr:uid="{00000000-0005-0000-0000-00001A000000}"/>
    <cellStyle name="20% - Акцент5 2" xfId="54" xr:uid="{00000000-0005-0000-0000-00001B000000}"/>
    <cellStyle name="20% - Акцент6 2" xfId="55" xr:uid="{00000000-0005-0000-0000-00001C000000}"/>
    <cellStyle name="20% - Акцент6 3" xfId="56" xr:uid="{00000000-0005-0000-0000-00001D000000}"/>
    <cellStyle name="40% - Акцент1 2" xfId="57" xr:uid="{00000000-0005-0000-0000-00001E000000}"/>
    <cellStyle name="40% - Акцент1 3" xfId="58" xr:uid="{00000000-0005-0000-0000-00001F000000}"/>
    <cellStyle name="40% - Акцент2 2" xfId="59" xr:uid="{00000000-0005-0000-0000-000020000000}"/>
    <cellStyle name="40% - Акцент3 2" xfId="60" xr:uid="{00000000-0005-0000-0000-000021000000}"/>
    <cellStyle name="40% - Акцент3 3" xfId="61" xr:uid="{00000000-0005-0000-0000-000022000000}"/>
    <cellStyle name="40% - Акцент4 2" xfId="62" xr:uid="{00000000-0005-0000-0000-000023000000}"/>
    <cellStyle name="40% - Акцент4 3" xfId="63" xr:uid="{00000000-0005-0000-0000-000024000000}"/>
    <cellStyle name="40% - Акцент5 2" xfId="64" xr:uid="{00000000-0005-0000-0000-000025000000}"/>
    <cellStyle name="40% - Акцент5 3" xfId="65" xr:uid="{00000000-0005-0000-0000-000026000000}"/>
    <cellStyle name="40% - Акцент6 2" xfId="66" xr:uid="{00000000-0005-0000-0000-000027000000}"/>
    <cellStyle name="40% - Акцент6 3" xfId="67" xr:uid="{00000000-0005-0000-0000-000028000000}"/>
    <cellStyle name="60% - Акцент1 2" xfId="68" xr:uid="{00000000-0005-0000-0000-000029000000}"/>
    <cellStyle name="60% - Акцент1 3" xfId="69" xr:uid="{00000000-0005-0000-0000-00002A000000}"/>
    <cellStyle name="60% - Акцент2 2" xfId="70" xr:uid="{00000000-0005-0000-0000-00002B000000}"/>
    <cellStyle name="60% - Акцент2 3" xfId="71" xr:uid="{00000000-0005-0000-0000-00002C000000}"/>
    <cellStyle name="60% - Акцент3 2" xfId="72" xr:uid="{00000000-0005-0000-0000-00002D000000}"/>
    <cellStyle name="60% - Акцент3 3" xfId="73" xr:uid="{00000000-0005-0000-0000-00002E000000}"/>
    <cellStyle name="60% - Акцент4 2" xfId="74" xr:uid="{00000000-0005-0000-0000-00002F000000}"/>
    <cellStyle name="60% - Акцент4 3" xfId="75" xr:uid="{00000000-0005-0000-0000-000030000000}"/>
    <cellStyle name="60% - Акцент5 2" xfId="76" xr:uid="{00000000-0005-0000-0000-000031000000}"/>
    <cellStyle name="60% - Акцент5 3" xfId="77" xr:uid="{00000000-0005-0000-0000-000032000000}"/>
    <cellStyle name="60% - Акцент6 2" xfId="78" xr:uid="{00000000-0005-0000-0000-000033000000}"/>
    <cellStyle name="60% - Акцент6 3" xfId="79" xr:uid="{00000000-0005-0000-0000-000034000000}"/>
    <cellStyle name="8pt" xfId="80" xr:uid="{00000000-0005-0000-0000-000035000000}"/>
    <cellStyle name="Акцент1 2" xfId="221" xr:uid="{00000000-0005-0000-0000-000023010000}"/>
    <cellStyle name="Акцент1 3" xfId="222" xr:uid="{00000000-0005-0000-0000-000024010000}"/>
    <cellStyle name="Акцент2 2" xfId="223" xr:uid="{00000000-0005-0000-0000-000025010000}"/>
    <cellStyle name="Акцент2 3" xfId="224" xr:uid="{00000000-0005-0000-0000-000026010000}"/>
    <cellStyle name="Акцент3 2" xfId="225" xr:uid="{00000000-0005-0000-0000-000027010000}"/>
    <cellStyle name="Акцент3 3" xfId="226" xr:uid="{00000000-0005-0000-0000-000028010000}"/>
    <cellStyle name="Акцент4 2" xfId="227" xr:uid="{00000000-0005-0000-0000-000029010000}"/>
    <cellStyle name="Акцент4 3" xfId="228" xr:uid="{00000000-0005-0000-0000-00002A010000}"/>
    <cellStyle name="Акцент5 2" xfId="229" xr:uid="{00000000-0005-0000-0000-00002B010000}"/>
    <cellStyle name="Акцент6 2" xfId="230" xr:uid="{00000000-0005-0000-0000-00002C010000}"/>
    <cellStyle name="Акцент6 3" xfId="231" xr:uid="{00000000-0005-0000-0000-00002D010000}"/>
    <cellStyle name="Ввод  2" xfId="232" xr:uid="{00000000-0005-0000-0000-00002E010000}"/>
    <cellStyle name="Ввод  3" xfId="233" xr:uid="{00000000-0005-0000-0000-00002F010000}"/>
    <cellStyle name="Ввод данных" xfId="234" xr:uid="{00000000-0005-0000-0000-000030010000}"/>
    <cellStyle name="Вывод 2" xfId="235" xr:uid="{00000000-0005-0000-0000-000031010000}"/>
    <cellStyle name="Вывод 3" xfId="236" xr:uid="{00000000-0005-0000-0000-000032010000}"/>
    <cellStyle name="Вычисление 2" xfId="237" xr:uid="{00000000-0005-0000-0000-000033010000}"/>
    <cellStyle name="Вычисление 3" xfId="238" xr:uid="{00000000-0005-0000-0000-000034010000}"/>
    <cellStyle name="Гиперссылка" xfId="405" builtinId="8"/>
    <cellStyle name="Гиперссылка 2" xfId="239" xr:uid="{00000000-0005-0000-0000-000036010000}"/>
    <cellStyle name="Гиперссылка 3" xfId="410" xr:uid="{A743FAC3-D5A0-CC40-8F72-AC47A1EAD1B3}"/>
    <cellStyle name="е" xfId="240" xr:uid="{00000000-0005-0000-0000-000037010000}"/>
    <cellStyle name="е 2" xfId="241" xr:uid="{00000000-0005-0000-0000-000038010000}"/>
    <cellStyle name="е_1.2.1" xfId="242" xr:uid="{00000000-0005-0000-0000-000039010000}"/>
    <cellStyle name="е_1.2.1_2.3" xfId="243" xr:uid="{00000000-0005-0000-0000-00003A010000}"/>
    <cellStyle name="е_1.2.1_20110225 -1200 - Кредитная заявка" xfId="244" xr:uid="{00000000-0005-0000-0000-00003B010000}"/>
    <cellStyle name="е_1.2.1_20110322 - 1230 - Кредитная заявка" xfId="245" xr:uid="{00000000-0005-0000-0000-00003C010000}"/>
    <cellStyle name="е_1.2.1_20110322 - 1300 - Кредитная заявка" xfId="246" xr:uid="{00000000-0005-0000-0000-00003D010000}"/>
    <cellStyle name="е_1.5" xfId="247" xr:uid="{00000000-0005-0000-0000-00003E010000}"/>
    <cellStyle name="е_3.6" xfId="248" xr:uid="{00000000-0005-0000-0000-00003F010000}"/>
    <cellStyle name="е_3.6_2.3" xfId="249" xr:uid="{00000000-0005-0000-0000-000040010000}"/>
    <cellStyle name="е_3.6_20110225 -1200 - Кредитная заявка" xfId="250" xr:uid="{00000000-0005-0000-0000-000041010000}"/>
    <cellStyle name="е_3.6_20110322 - 1230 - Кредитная заявка" xfId="251" xr:uid="{00000000-0005-0000-0000-000042010000}"/>
    <cellStyle name="е_3.6_20110322 - 1300 - Кредитная заявка" xfId="252" xr:uid="{00000000-0005-0000-0000-000043010000}"/>
    <cellStyle name="е_Резюме" xfId="253" xr:uid="{00000000-0005-0000-0000-000044010000}"/>
    <cellStyle name="Заголовок 1 2" xfId="254" xr:uid="{00000000-0005-0000-0000-000045010000}"/>
    <cellStyle name="Заголовок 1 3" xfId="255" xr:uid="{00000000-0005-0000-0000-000046010000}"/>
    <cellStyle name="Заголовок 2 2" xfId="256" xr:uid="{00000000-0005-0000-0000-000047010000}"/>
    <cellStyle name="Заголовок 2 3" xfId="257" xr:uid="{00000000-0005-0000-0000-000048010000}"/>
    <cellStyle name="Заголовок 3 2" xfId="258" xr:uid="{00000000-0005-0000-0000-000049010000}"/>
    <cellStyle name="Заголовок 3 3" xfId="259" xr:uid="{00000000-0005-0000-0000-00004A010000}"/>
    <cellStyle name="Заголовок 4 2" xfId="260" xr:uid="{00000000-0005-0000-0000-00004B010000}"/>
    <cellStyle name="Заголовок 4 3" xfId="261" xr:uid="{00000000-0005-0000-0000-00004C010000}"/>
    <cellStyle name="Итог 2" xfId="262" xr:uid="{00000000-0005-0000-0000-00004D010000}"/>
    <cellStyle name="Итог 3" xfId="263" xr:uid="{00000000-0005-0000-0000-00004E010000}"/>
    <cellStyle name="Контрольная ячейка 2" xfId="264" xr:uid="{00000000-0005-0000-0000-00004F010000}"/>
    <cellStyle name="Название 2" xfId="265" xr:uid="{00000000-0005-0000-0000-000050010000}"/>
    <cellStyle name="Название 3" xfId="266" xr:uid="{00000000-0005-0000-0000-000051010000}"/>
    <cellStyle name="Нейтральный 2" xfId="267" xr:uid="{00000000-0005-0000-0000-000052010000}"/>
    <cellStyle name="Нейтральный 3" xfId="268" xr:uid="{00000000-0005-0000-0000-000053010000}"/>
    <cellStyle name="Обычный" xfId="0" builtinId="0"/>
    <cellStyle name="Обычный 2" xfId="1" xr:uid="{00000000-0005-0000-0000-000055010000}"/>
    <cellStyle name="Обычный 2 2" xfId="15" xr:uid="{00000000-0005-0000-0000-000056010000}"/>
    <cellStyle name="Обычный 2 3" xfId="25" xr:uid="{00000000-0005-0000-0000-000057010000}"/>
    <cellStyle name="Обычный 2 4" xfId="396" xr:uid="{00000000-0005-0000-0000-000058010000}"/>
    <cellStyle name="Обычный 2 5" xfId="402" xr:uid="{00000000-0005-0000-0000-000059010000}"/>
    <cellStyle name="Обычный 2 6" xfId="404" xr:uid="{00000000-0005-0000-0000-00005A010000}"/>
    <cellStyle name="Обычный 2 7" xfId="408" xr:uid="{D51F0055-8589-2E4C-94AA-69569C5ADC22}"/>
    <cellStyle name="Обычный 3" xfId="3" xr:uid="{00000000-0005-0000-0000-00005B010000}"/>
    <cellStyle name="Обычный 3 2" xfId="269" xr:uid="{00000000-0005-0000-0000-00005C010000}"/>
    <cellStyle name="Обычный 3 3" xfId="400" xr:uid="{00000000-0005-0000-0000-00005D010000}"/>
    <cellStyle name="Обычный 4" xfId="11" xr:uid="{00000000-0005-0000-0000-00005E010000}"/>
    <cellStyle name="Обычный 4 2" xfId="16" xr:uid="{00000000-0005-0000-0000-00005F010000}"/>
    <cellStyle name="Обычный 4 3" xfId="23" xr:uid="{00000000-0005-0000-0000-000060010000}"/>
    <cellStyle name="Обычный 5" xfId="13" xr:uid="{00000000-0005-0000-0000-000061010000}"/>
    <cellStyle name="Обычный 5 2" xfId="24" xr:uid="{00000000-0005-0000-0000-000062010000}"/>
    <cellStyle name="Обычный 6" xfId="17" xr:uid="{00000000-0005-0000-0000-000063010000}"/>
    <cellStyle name="Обычный 7" xfId="18" xr:uid="{00000000-0005-0000-0000-000064010000}"/>
    <cellStyle name="Обычный 8" xfId="19" xr:uid="{00000000-0005-0000-0000-000065010000}"/>
    <cellStyle name="Обычный 9" xfId="397" xr:uid="{00000000-0005-0000-0000-000066010000}"/>
    <cellStyle name="Обычный_нерег для сайта (05.11-06.11)" xfId="409" xr:uid="{1F75AC6A-504B-7C40-BC46-6CF571FA0FD4}"/>
    <cellStyle name="Основной" xfId="270" xr:uid="{00000000-0005-0000-0000-000067010000}"/>
    <cellStyle name="Плохой 2" xfId="271" xr:uid="{00000000-0005-0000-0000-000068010000}"/>
    <cellStyle name="Плохой 3" xfId="272" xr:uid="{00000000-0005-0000-0000-000069010000}"/>
    <cellStyle name="Пояснение 2" xfId="273" xr:uid="{00000000-0005-0000-0000-00006A010000}"/>
    <cellStyle name="Примечание 2" xfId="274" xr:uid="{00000000-0005-0000-0000-00006B010000}"/>
    <cellStyle name="Примечание 3" xfId="275" xr:uid="{00000000-0005-0000-0000-00006C010000}"/>
    <cellStyle name="Процент_ГСМ (з)" xfId="276" xr:uid="{00000000-0005-0000-0000-00006D010000}"/>
    <cellStyle name="Процентный" xfId="26" builtinId="5"/>
    <cellStyle name="Процентный 2" xfId="2" xr:uid="{00000000-0005-0000-0000-00006F010000}"/>
    <cellStyle name="Процентный 2 2" xfId="277" xr:uid="{00000000-0005-0000-0000-000070010000}"/>
    <cellStyle name="Процентный 2 3" xfId="278" xr:uid="{00000000-0005-0000-0000-000071010000}"/>
    <cellStyle name="Процентный 2 4" xfId="279" xr:uid="{00000000-0005-0000-0000-000072010000}"/>
    <cellStyle name="Процентный 2 5" xfId="401" xr:uid="{00000000-0005-0000-0000-000073010000}"/>
    <cellStyle name="Процентный 2 6" xfId="406" xr:uid="{00000000-0005-0000-0000-000074010000}"/>
    <cellStyle name="Процентный 3" xfId="12" xr:uid="{00000000-0005-0000-0000-000075010000}"/>
    <cellStyle name="Процентный 3 2" xfId="280" xr:uid="{00000000-0005-0000-0000-000076010000}"/>
    <cellStyle name="Процентный 3 3" xfId="281" xr:uid="{00000000-0005-0000-0000-000077010000}"/>
    <cellStyle name="Процентный 3 4" xfId="407" xr:uid="{54029B12-F485-3B40-A7C3-4051D714E49F}"/>
    <cellStyle name="Процентный 4" xfId="14" xr:uid="{00000000-0005-0000-0000-000078010000}"/>
    <cellStyle name="Процентный 4 2" xfId="22" xr:uid="{00000000-0005-0000-0000-000079010000}"/>
    <cellStyle name="Процентный 5" xfId="282" xr:uid="{00000000-0005-0000-0000-00007A010000}"/>
    <cellStyle name="Процентный 6" xfId="283" xr:uid="{00000000-0005-0000-0000-00007B010000}"/>
    <cellStyle name="Процентный 7" xfId="284" xr:uid="{00000000-0005-0000-0000-00007C010000}"/>
    <cellStyle name="Расчетный" xfId="285" xr:uid="{00000000-0005-0000-0000-00007D010000}"/>
    <cellStyle name="Связанная ячейка 2" xfId="286" xr:uid="{00000000-0005-0000-0000-00007E010000}"/>
    <cellStyle name="Связанная ячейка 3" xfId="287" xr:uid="{00000000-0005-0000-0000-00007F010000}"/>
    <cellStyle name="Стиль 1" xfId="288" xr:uid="{00000000-0005-0000-0000-000080010000}"/>
    <cellStyle name="Текст" xfId="289" xr:uid="{00000000-0005-0000-0000-000081010000}"/>
    <cellStyle name="Текст предупреждения 2" xfId="290" xr:uid="{00000000-0005-0000-0000-000082010000}"/>
    <cellStyle name="Тысячи [0]_2 пг2001г пр-в ДОК" xfId="291" xr:uid="{00000000-0005-0000-0000-000083010000}"/>
    <cellStyle name="Тысячи_2 пг2001г пр-в ДОК" xfId="292" xr:uid="{00000000-0005-0000-0000-000084010000}"/>
    <cellStyle name="Финанс[Кр]" xfId="294" xr:uid="{00000000-0005-0000-0000-000086010000}"/>
    <cellStyle name="Финанс[US]" xfId="293" xr:uid="{00000000-0005-0000-0000-000085010000}"/>
    <cellStyle name="Финансовый" xfId="304" builtinId="3"/>
    <cellStyle name="Финансовый 2" xfId="4" xr:uid="{00000000-0005-0000-0000-000088010000}"/>
    <cellStyle name="Финансовый 2 2" xfId="295" xr:uid="{00000000-0005-0000-0000-000089010000}"/>
    <cellStyle name="Финансовый 2 3" xfId="296" xr:uid="{00000000-0005-0000-0000-00008A010000}"/>
    <cellStyle name="Финансовый 3" xfId="20" xr:uid="{00000000-0005-0000-0000-00008B010000}"/>
    <cellStyle name="Финансовый 3 2" xfId="297" xr:uid="{00000000-0005-0000-0000-00008C010000}"/>
    <cellStyle name="Финансовый 4" xfId="21" xr:uid="{00000000-0005-0000-0000-00008D010000}"/>
    <cellStyle name="Финансовый 5" xfId="298" xr:uid="{00000000-0005-0000-0000-00008E010000}"/>
    <cellStyle name="Финансовый 6" xfId="299" xr:uid="{00000000-0005-0000-0000-00008F010000}"/>
    <cellStyle name="Финансовый 7" xfId="398" xr:uid="{00000000-0005-0000-0000-000090010000}"/>
    <cellStyle name="Финансовый 8" xfId="403" xr:uid="{00000000-0005-0000-0000-000091010000}"/>
    <cellStyle name="Хороший 2" xfId="300" xr:uid="{00000000-0005-0000-0000-000092010000}"/>
    <cellStyle name="Хороший 3" xfId="301" xr:uid="{00000000-0005-0000-0000-000093010000}"/>
    <cellStyle name="Ценовой" xfId="302" xr:uid="{00000000-0005-0000-0000-000094010000}"/>
    <cellStyle name="Шапка" xfId="303" xr:uid="{00000000-0005-0000-0000-000095010000}"/>
    <cellStyle name="Aaia?iue [0]_vaqduGfTSN7qyUJNWHRlcWo3H" xfId="81" xr:uid="{00000000-0005-0000-0000-000036000000}"/>
    <cellStyle name="Aaia?iue_vaqduGfTSN7qyUJNWHRlcWo3H" xfId="82" xr:uid="{00000000-0005-0000-0000-000037000000}"/>
    <cellStyle name="Äåíåæíûé [0]_vaqduGfTSN7qyUJNWHRlcWo3H" xfId="83" xr:uid="{00000000-0005-0000-0000-000038000000}"/>
    <cellStyle name="Äåíåæíûé_vaqduGfTSN7qyUJNWHRlcWo3H" xfId="84" xr:uid="{00000000-0005-0000-0000-000039000000}"/>
    <cellStyle name="acct" xfId="85" xr:uid="{00000000-0005-0000-0000-00003A000000}"/>
    <cellStyle name="acct 2" xfId="86" xr:uid="{00000000-0005-0000-0000-00003B000000}"/>
    <cellStyle name="AeE­ [0]_?A°??µAoC?" xfId="87" xr:uid="{00000000-0005-0000-0000-00003C000000}"/>
    <cellStyle name="AeE­_?A°??µAoC?" xfId="88" xr:uid="{00000000-0005-0000-0000-00003D000000}"/>
    <cellStyle name="AFE" xfId="89" xr:uid="{00000000-0005-0000-0000-00003E000000}"/>
    <cellStyle name="Arial 10" xfId="90" xr:uid="{00000000-0005-0000-0000-00003F000000}"/>
    <cellStyle name="Arial 12" xfId="91" xr:uid="{00000000-0005-0000-0000-000040000000}"/>
    <cellStyle name="BLACK" xfId="92" xr:uid="{00000000-0005-0000-0000-000041000000}"/>
    <cellStyle name="Blue" xfId="93" xr:uid="{00000000-0005-0000-0000-000042000000}"/>
    <cellStyle name="Body" xfId="94" xr:uid="{00000000-0005-0000-0000-000043000000}"/>
    <cellStyle name="British Pound" xfId="95" xr:uid="{00000000-0005-0000-0000-000044000000}"/>
    <cellStyle name="C?AO_?A°??µAoC?" xfId="96" xr:uid="{00000000-0005-0000-0000-000045000000}"/>
    <cellStyle name="Case" xfId="97" xr:uid="{00000000-0005-0000-0000-000046000000}"/>
    <cellStyle name="Case 2" xfId="98" xr:uid="{00000000-0005-0000-0000-000047000000}"/>
    <cellStyle name="Center Across" xfId="99" xr:uid="{00000000-0005-0000-0000-000048000000}"/>
    <cellStyle name="Check" xfId="100" xr:uid="{00000000-0005-0000-0000-000049000000}"/>
    <cellStyle name="Column Heading" xfId="101" xr:uid="{00000000-0005-0000-0000-00004A000000}"/>
    <cellStyle name="Comma [1]" xfId="102" xr:uid="{00000000-0005-0000-0000-00004B000000}"/>
    <cellStyle name="Comma 0" xfId="103" xr:uid="{00000000-0005-0000-0000-00004C000000}"/>
    <cellStyle name="Comma 0*" xfId="104" xr:uid="{00000000-0005-0000-0000-00004D000000}"/>
    <cellStyle name="Comma 2" xfId="105" xr:uid="{00000000-0005-0000-0000-00004E000000}"/>
    <cellStyle name="Comma_20100524 - Credit application - WC - v0" xfId="106" xr:uid="{00000000-0005-0000-0000-00004F000000}"/>
    <cellStyle name="Comma0" xfId="107" xr:uid="{00000000-0005-0000-0000-000050000000}"/>
    <cellStyle name="Currency [1]" xfId="108" xr:uid="{00000000-0005-0000-0000-000051000000}"/>
    <cellStyle name="Currency 0" xfId="109" xr:uid="{00000000-0005-0000-0000-000052000000}"/>
    <cellStyle name="Currency 2" xfId="110" xr:uid="{00000000-0005-0000-0000-000053000000}"/>
    <cellStyle name="Currency0" xfId="111" xr:uid="{00000000-0005-0000-0000-000054000000}"/>
    <cellStyle name="Date" xfId="112" xr:uid="{00000000-0005-0000-0000-000055000000}"/>
    <cellStyle name="Date Aligned" xfId="113" xr:uid="{00000000-0005-0000-0000-000056000000}"/>
    <cellStyle name="Date_LRP Model (13.05.02)" xfId="114" xr:uid="{00000000-0005-0000-0000-000057000000}"/>
    <cellStyle name="Dec_0" xfId="115" xr:uid="{00000000-0005-0000-0000-000058000000}"/>
    <cellStyle name="Dezimal_erlös04cdvo" xfId="5" xr:uid="{00000000-0005-0000-0000-000059000000}"/>
    <cellStyle name="DividerBlue" xfId="116" xr:uid="{00000000-0005-0000-0000-00005A000000}"/>
    <cellStyle name="DividerGreen" xfId="117" xr:uid="{00000000-0005-0000-0000-00005B000000}"/>
    <cellStyle name="DividerGrey" xfId="118" xr:uid="{00000000-0005-0000-0000-00005C000000}"/>
    <cellStyle name="DividerLilac" xfId="119" xr:uid="{00000000-0005-0000-0000-00005D000000}"/>
    <cellStyle name="DividerPink" xfId="120" xr:uid="{00000000-0005-0000-0000-00005E000000}"/>
    <cellStyle name="DividerYellow" xfId="121" xr:uid="{00000000-0005-0000-0000-00005F000000}"/>
    <cellStyle name="Dollars" xfId="122" xr:uid="{00000000-0005-0000-0000-000060000000}"/>
    <cellStyle name="Dotted Line" xfId="123" xr:uid="{00000000-0005-0000-0000-000061000000}"/>
    <cellStyle name="Double Accounting" xfId="124" xr:uid="{00000000-0005-0000-0000-000062000000}"/>
    <cellStyle name="Euro" xfId="125" xr:uid="{00000000-0005-0000-0000-000063000000}"/>
    <cellStyle name="Excel Built-in Normal" xfId="305" xr:uid="{00000000-0005-0000-0000-000064000000}"/>
    <cellStyle name="Excel Built-in Normal 2" xfId="306" xr:uid="{00000000-0005-0000-0000-000065000000}"/>
    <cellStyle name="Excel Built-in Normal 3" xfId="307" xr:uid="{00000000-0005-0000-0000-000066000000}"/>
    <cellStyle name="Excel Built-in Normal 4" xfId="308" xr:uid="{00000000-0005-0000-0000-000067000000}"/>
    <cellStyle name="Excel Built-in Normal 5" xfId="309" xr:uid="{00000000-0005-0000-0000-000068000000}"/>
    <cellStyle name="Excel Built-in Normal 6" xfId="310" xr:uid="{00000000-0005-0000-0000-000069000000}"/>
    <cellStyle name="Excel Built-in Normal 7" xfId="311" xr:uid="{00000000-0005-0000-0000-00006A000000}"/>
    <cellStyle name="Ezres [0]_Document" xfId="126" xr:uid="{00000000-0005-0000-0000-00006B000000}"/>
    <cellStyle name="Ezres_Document" xfId="127" xr:uid="{00000000-0005-0000-0000-00006C000000}"/>
    <cellStyle name="Fixed" xfId="128" xr:uid="{00000000-0005-0000-0000-00006D000000}"/>
    <cellStyle name="footer" xfId="129" xr:uid="{00000000-0005-0000-0000-00006E000000}"/>
    <cellStyle name="footer 2" xfId="130" xr:uid="{00000000-0005-0000-0000-00006F000000}"/>
    <cellStyle name="Footnote" xfId="131" xr:uid="{00000000-0005-0000-0000-000070000000}"/>
    <cellStyle name="Green" xfId="132" xr:uid="{00000000-0005-0000-0000-000071000000}"/>
    <cellStyle name="Hard Percent" xfId="133" xr:uid="{00000000-0005-0000-0000-000072000000}"/>
    <cellStyle name="Header" xfId="134" xr:uid="{00000000-0005-0000-0000-000073000000}"/>
    <cellStyle name="Header1" xfId="135" xr:uid="{00000000-0005-0000-0000-000074000000}"/>
    <cellStyle name="Header2" xfId="136" xr:uid="{00000000-0005-0000-0000-000075000000}"/>
    <cellStyle name="heading" xfId="137" xr:uid="{00000000-0005-0000-0000-000076000000}"/>
    <cellStyle name="Heading 1" xfId="138" xr:uid="{00000000-0005-0000-0000-000077000000}"/>
    <cellStyle name="Heading 2" xfId="139" xr:uid="{00000000-0005-0000-0000-000078000000}"/>
    <cellStyle name="Heading 3" xfId="140" xr:uid="{00000000-0005-0000-0000-000079000000}"/>
    <cellStyle name="HeadingS" xfId="141" xr:uid="{00000000-0005-0000-0000-00007A000000}"/>
    <cellStyle name="Hide" xfId="142" xr:uid="{00000000-0005-0000-0000-00007B000000}"/>
    <cellStyle name="Iau?iue_o10-n" xfId="143" xr:uid="{00000000-0005-0000-0000-00007C000000}"/>
    <cellStyle name="Îáû÷íûé_vaqduGfTSN7qyUJNWHRlcWo3H" xfId="144" xr:uid="{00000000-0005-0000-0000-00007D000000}"/>
    <cellStyle name="Input" xfId="145" xr:uid="{00000000-0005-0000-0000-00007E000000}"/>
    <cellStyle name="Input 2" xfId="146" xr:uid="{00000000-0005-0000-0000-00007F000000}"/>
    <cellStyle name="Komma [0]_Arcen" xfId="147" xr:uid="{00000000-0005-0000-0000-000080000000}"/>
    <cellStyle name="Komma 2" xfId="6" xr:uid="{00000000-0005-0000-0000-000081000000}"/>
    <cellStyle name="Komma 2 2" xfId="312" xr:uid="{00000000-0005-0000-0000-000082000000}"/>
    <cellStyle name="Komma_Arcen" xfId="148" xr:uid="{00000000-0005-0000-0000-000083000000}"/>
    <cellStyle name="Milliers [0]_BUDGET" xfId="149" xr:uid="{00000000-0005-0000-0000-000084000000}"/>
    <cellStyle name="Milliers_BUDGET" xfId="150" xr:uid="{00000000-0005-0000-0000-000085000000}"/>
    <cellStyle name="Mon?taire [0]_BUDGET" xfId="151" xr:uid="{00000000-0005-0000-0000-000086000000}"/>
    <cellStyle name="Mon?taire_BUDGET" xfId="152" xr:uid="{00000000-0005-0000-0000-000087000000}"/>
    <cellStyle name="Monétaire [0]_BUDGET" xfId="153" xr:uid="{00000000-0005-0000-0000-000088000000}"/>
    <cellStyle name="Monétaire_BUDGET" xfId="154" xr:uid="{00000000-0005-0000-0000-000089000000}"/>
    <cellStyle name="Multiple" xfId="155" xr:uid="{00000000-0005-0000-0000-00008A000000}"/>
    <cellStyle name="Multiple [0]" xfId="156" xr:uid="{00000000-0005-0000-0000-00008B000000}"/>
    <cellStyle name="Multiple [1]" xfId="157" xr:uid="{00000000-0005-0000-0000-00008C000000}"/>
    <cellStyle name="Multiple_1 Dec" xfId="158" xr:uid="{00000000-0005-0000-0000-00008D000000}"/>
    <cellStyle name="no dec" xfId="159" xr:uid="{00000000-0005-0000-0000-00008E000000}"/>
    <cellStyle name="Norm?l_1." xfId="160" xr:uid="{00000000-0005-0000-0000-00008F000000}"/>
    <cellStyle name="Norma11l" xfId="161" xr:uid="{00000000-0005-0000-0000-000090000000}"/>
    <cellStyle name="Normal - Style1" xfId="162" xr:uid="{00000000-0005-0000-0000-000091000000}"/>
    <cellStyle name="Normal 2" xfId="7" xr:uid="{00000000-0005-0000-0000-000092000000}"/>
    <cellStyle name="Normál_1." xfId="163" xr:uid="{00000000-0005-0000-0000-000093000000}"/>
    <cellStyle name="Normal_20100524 - Credit application - WC - v0" xfId="164" xr:uid="{00000000-0005-0000-0000-000094000000}"/>
    <cellStyle name="NormalGB" xfId="165" xr:uid="{00000000-0005-0000-0000-000095000000}"/>
    <cellStyle name="Output Amounts" xfId="166" xr:uid="{00000000-0005-0000-0000-000096000000}"/>
    <cellStyle name="Output Column Headings" xfId="167" xr:uid="{00000000-0005-0000-0000-000097000000}"/>
    <cellStyle name="Output Line Items" xfId="168" xr:uid="{00000000-0005-0000-0000-000098000000}"/>
    <cellStyle name="Output Report Heading" xfId="169" xr:uid="{00000000-0005-0000-0000-000099000000}"/>
    <cellStyle name="Output Report Title" xfId="170" xr:uid="{00000000-0005-0000-0000-00009A000000}"/>
    <cellStyle name="Outputtitle" xfId="171" xr:uid="{00000000-0005-0000-0000-00009B000000}"/>
    <cellStyle name="P?nznem [0]_Document" xfId="172" xr:uid="{00000000-0005-0000-0000-00009C000000}"/>
    <cellStyle name="P?nznem_Document" xfId="173" xr:uid="{00000000-0005-0000-0000-00009D000000}"/>
    <cellStyle name="Page Number" xfId="174" xr:uid="{00000000-0005-0000-0000-00009E000000}"/>
    <cellStyle name="Pénznem [0]_Document" xfId="175" xr:uid="{00000000-0005-0000-0000-00009F000000}"/>
    <cellStyle name="Pénznem_Document" xfId="176" xr:uid="{00000000-0005-0000-0000-0000A0000000}"/>
    <cellStyle name="Percent [0]" xfId="177" xr:uid="{00000000-0005-0000-0000-0000A1000000}"/>
    <cellStyle name="Percent [1]" xfId="178" xr:uid="{00000000-0005-0000-0000-0000A2000000}"/>
    <cellStyle name="Percent 2" xfId="179" xr:uid="{00000000-0005-0000-0000-0000A3000000}"/>
    <cellStyle name="Percent 2 2" xfId="180" xr:uid="{00000000-0005-0000-0000-0000A4000000}"/>
    <cellStyle name="Prozent 2" xfId="8" xr:uid="{00000000-0005-0000-0000-0000A5000000}"/>
    <cellStyle name="Prozent 2 2" xfId="313" xr:uid="{00000000-0005-0000-0000-0000A6000000}"/>
    <cellStyle name="PSChar" xfId="9" xr:uid="{00000000-0005-0000-0000-0000A7000000}"/>
    <cellStyle name="Red" xfId="181" xr:uid="{00000000-0005-0000-0000-0000A8000000}"/>
    <cellStyle name="S0" xfId="314" xr:uid="{00000000-0005-0000-0000-0000A9000000}"/>
    <cellStyle name="S0 2" xfId="315" xr:uid="{00000000-0005-0000-0000-0000AA000000}"/>
    <cellStyle name="S1" xfId="316" xr:uid="{00000000-0005-0000-0000-0000AB000000}"/>
    <cellStyle name="S1 2" xfId="317" xr:uid="{00000000-0005-0000-0000-0000AC000000}"/>
    <cellStyle name="S10" xfId="318" xr:uid="{00000000-0005-0000-0000-0000AD000000}"/>
    <cellStyle name="S10 2" xfId="319" xr:uid="{00000000-0005-0000-0000-0000AE000000}"/>
    <cellStyle name="S11" xfId="320" xr:uid="{00000000-0005-0000-0000-0000AF000000}"/>
    <cellStyle name="S11 2" xfId="321" xr:uid="{00000000-0005-0000-0000-0000B0000000}"/>
    <cellStyle name="S12" xfId="322" xr:uid="{00000000-0005-0000-0000-0000B1000000}"/>
    <cellStyle name="S12 2" xfId="323" xr:uid="{00000000-0005-0000-0000-0000B2000000}"/>
    <cellStyle name="S13" xfId="324" xr:uid="{00000000-0005-0000-0000-0000B3000000}"/>
    <cellStyle name="S13 2" xfId="325" xr:uid="{00000000-0005-0000-0000-0000B4000000}"/>
    <cellStyle name="S14" xfId="326" xr:uid="{00000000-0005-0000-0000-0000B5000000}"/>
    <cellStyle name="S14 2" xfId="327" xr:uid="{00000000-0005-0000-0000-0000B6000000}"/>
    <cellStyle name="S15" xfId="328" xr:uid="{00000000-0005-0000-0000-0000B7000000}"/>
    <cellStyle name="S15 2" xfId="329" xr:uid="{00000000-0005-0000-0000-0000B8000000}"/>
    <cellStyle name="S16" xfId="330" xr:uid="{00000000-0005-0000-0000-0000B9000000}"/>
    <cellStyle name="S16 2" xfId="331" xr:uid="{00000000-0005-0000-0000-0000BA000000}"/>
    <cellStyle name="S17" xfId="332" xr:uid="{00000000-0005-0000-0000-0000BB000000}"/>
    <cellStyle name="S17 2" xfId="333" xr:uid="{00000000-0005-0000-0000-0000BC000000}"/>
    <cellStyle name="S18" xfId="334" xr:uid="{00000000-0005-0000-0000-0000BD000000}"/>
    <cellStyle name="S18 2" xfId="335" xr:uid="{00000000-0005-0000-0000-0000BE000000}"/>
    <cellStyle name="S19" xfId="336" xr:uid="{00000000-0005-0000-0000-0000BF000000}"/>
    <cellStyle name="S19 2" xfId="337" xr:uid="{00000000-0005-0000-0000-0000C0000000}"/>
    <cellStyle name="S2" xfId="338" xr:uid="{00000000-0005-0000-0000-0000C1000000}"/>
    <cellStyle name="S2 2" xfId="339" xr:uid="{00000000-0005-0000-0000-0000C2000000}"/>
    <cellStyle name="S20" xfId="340" xr:uid="{00000000-0005-0000-0000-0000C3000000}"/>
    <cellStyle name="S20 2" xfId="341" xr:uid="{00000000-0005-0000-0000-0000C4000000}"/>
    <cellStyle name="S21" xfId="342" xr:uid="{00000000-0005-0000-0000-0000C5000000}"/>
    <cellStyle name="S21 2" xfId="343" xr:uid="{00000000-0005-0000-0000-0000C6000000}"/>
    <cellStyle name="S22" xfId="344" xr:uid="{00000000-0005-0000-0000-0000C7000000}"/>
    <cellStyle name="S22 2" xfId="345" xr:uid="{00000000-0005-0000-0000-0000C8000000}"/>
    <cellStyle name="S23" xfId="346" xr:uid="{00000000-0005-0000-0000-0000C9000000}"/>
    <cellStyle name="S23 2" xfId="347" xr:uid="{00000000-0005-0000-0000-0000CA000000}"/>
    <cellStyle name="S24" xfId="348" xr:uid="{00000000-0005-0000-0000-0000CB000000}"/>
    <cellStyle name="S24 2" xfId="349" xr:uid="{00000000-0005-0000-0000-0000CC000000}"/>
    <cellStyle name="S25" xfId="350" xr:uid="{00000000-0005-0000-0000-0000CD000000}"/>
    <cellStyle name="S26" xfId="351" xr:uid="{00000000-0005-0000-0000-0000CE000000}"/>
    <cellStyle name="S27" xfId="352" xr:uid="{00000000-0005-0000-0000-0000CF000000}"/>
    <cellStyle name="S28" xfId="353" xr:uid="{00000000-0005-0000-0000-0000D0000000}"/>
    <cellStyle name="S29" xfId="354" xr:uid="{00000000-0005-0000-0000-0000D1000000}"/>
    <cellStyle name="S29 2" xfId="355" xr:uid="{00000000-0005-0000-0000-0000D2000000}"/>
    <cellStyle name="S3" xfId="356" xr:uid="{00000000-0005-0000-0000-0000D3000000}"/>
    <cellStyle name="S3 2" xfId="357" xr:uid="{00000000-0005-0000-0000-0000D4000000}"/>
    <cellStyle name="S30" xfId="358" xr:uid="{00000000-0005-0000-0000-0000D5000000}"/>
    <cellStyle name="S30 2" xfId="359" xr:uid="{00000000-0005-0000-0000-0000D6000000}"/>
    <cellStyle name="S31" xfId="360" xr:uid="{00000000-0005-0000-0000-0000D7000000}"/>
    <cellStyle name="S31 2" xfId="361" xr:uid="{00000000-0005-0000-0000-0000D8000000}"/>
    <cellStyle name="S32" xfId="362" xr:uid="{00000000-0005-0000-0000-0000D9000000}"/>
    <cellStyle name="S32 2" xfId="363" xr:uid="{00000000-0005-0000-0000-0000DA000000}"/>
    <cellStyle name="S33" xfId="364" xr:uid="{00000000-0005-0000-0000-0000DB000000}"/>
    <cellStyle name="S33 2" xfId="365" xr:uid="{00000000-0005-0000-0000-0000DC000000}"/>
    <cellStyle name="S34" xfId="366" xr:uid="{00000000-0005-0000-0000-0000DD000000}"/>
    <cellStyle name="S34 2" xfId="367" xr:uid="{00000000-0005-0000-0000-0000DE000000}"/>
    <cellStyle name="S35" xfId="368" xr:uid="{00000000-0005-0000-0000-0000DF000000}"/>
    <cellStyle name="S35 2" xfId="369" xr:uid="{00000000-0005-0000-0000-0000E0000000}"/>
    <cellStyle name="S36" xfId="370" xr:uid="{00000000-0005-0000-0000-0000E1000000}"/>
    <cellStyle name="S36 2" xfId="371" xr:uid="{00000000-0005-0000-0000-0000E2000000}"/>
    <cellStyle name="S37" xfId="372" xr:uid="{00000000-0005-0000-0000-0000E3000000}"/>
    <cellStyle name="S37 2" xfId="373" xr:uid="{00000000-0005-0000-0000-0000E4000000}"/>
    <cellStyle name="S38" xfId="374" xr:uid="{00000000-0005-0000-0000-0000E5000000}"/>
    <cellStyle name="S38 2" xfId="375" xr:uid="{00000000-0005-0000-0000-0000E6000000}"/>
    <cellStyle name="S39" xfId="376" xr:uid="{00000000-0005-0000-0000-0000E7000000}"/>
    <cellStyle name="S39 2" xfId="377" xr:uid="{00000000-0005-0000-0000-0000E8000000}"/>
    <cellStyle name="S4" xfId="378" xr:uid="{00000000-0005-0000-0000-0000E9000000}"/>
    <cellStyle name="S4 2" xfId="379" xr:uid="{00000000-0005-0000-0000-0000EA000000}"/>
    <cellStyle name="S40" xfId="380" xr:uid="{00000000-0005-0000-0000-0000EB000000}"/>
    <cellStyle name="S40 2" xfId="381" xr:uid="{00000000-0005-0000-0000-0000EC000000}"/>
    <cellStyle name="S41" xfId="382" xr:uid="{00000000-0005-0000-0000-0000ED000000}"/>
    <cellStyle name="S42" xfId="383" xr:uid="{00000000-0005-0000-0000-0000EE000000}"/>
    <cellStyle name="S43" xfId="384" xr:uid="{00000000-0005-0000-0000-0000EF000000}"/>
    <cellStyle name="S44" xfId="385" xr:uid="{00000000-0005-0000-0000-0000F0000000}"/>
    <cellStyle name="S5" xfId="386" xr:uid="{00000000-0005-0000-0000-0000F1000000}"/>
    <cellStyle name="S5 2" xfId="387" xr:uid="{00000000-0005-0000-0000-0000F2000000}"/>
    <cellStyle name="S6" xfId="388" xr:uid="{00000000-0005-0000-0000-0000F3000000}"/>
    <cellStyle name="S6 2" xfId="389" xr:uid="{00000000-0005-0000-0000-0000F4000000}"/>
    <cellStyle name="S7" xfId="390" xr:uid="{00000000-0005-0000-0000-0000F5000000}"/>
    <cellStyle name="S7 2" xfId="391" xr:uid="{00000000-0005-0000-0000-0000F6000000}"/>
    <cellStyle name="S8" xfId="392" xr:uid="{00000000-0005-0000-0000-0000F7000000}"/>
    <cellStyle name="S8 2" xfId="393" xr:uid="{00000000-0005-0000-0000-0000F8000000}"/>
    <cellStyle name="S9" xfId="394" xr:uid="{00000000-0005-0000-0000-0000F9000000}"/>
    <cellStyle name="S9 2" xfId="395" xr:uid="{00000000-0005-0000-0000-0000FA000000}"/>
    <cellStyle name="Salomon Logo" xfId="182" xr:uid="{00000000-0005-0000-0000-0000FB000000}"/>
    <cellStyle name="ScotchRule" xfId="183" xr:uid="{00000000-0005-0000-0000-0000FC000000}"/>
    <cellStyle name="Single Accounting" xfId="184" xr:uid="{00000000-0005-0000-0000-0000FD000000}"/>
    <cellStyle name="small" xfId="185" xr:uid="{00000000-0005-0000-0000-0000FE000000}"/>
    <cellStyle name="Standard_ENI-080618-Liquiditätsplan" xfId="10" xr:uid="{00000000-0005-0000-0000-0000FF000000}"/>
    <cellStyle name="Subtitle" xfId="186" xr:uid="{00000000-0005-0000-0000-000000010000}"/>
    <cellStyle name="Table Head" xfId="187" xr:uid="{00000000-0005-0000-0000-000001010000}"/>
    <cellStyle name="Table Head Aligned" xfId="188" xr:uid="{00000000-0005-0000-0000-000002010000}"/>
    <cellStyle name="Table Head Blue" xfId="189" xr:uid="{00000000-0005-0000-0000-000003010000}"/>
    <cellStyle name="Table Head Green" xfId="190" xr:uid="{00000000-0005-0000-0000-000004010000}"/>
    <cellStyle name="Table Head_Val_Sum_Graph" xfId="191" xr:uid="{00000000-0005-0000-0000-000005010000}"/>
    <cellStyle name="Table Text" xfId="192" xr:uid="{00000000-0005-0000-0000-000006010000}"/>
    <cellStyle name="Table Title" xfId="193" xr:uid="{00000000-0005-0000-0000-000007010000}"/>
    <cellStyle name="Table Units" xfId="194" xr:uid="{00000000-0005-0000-0000-000008010000}"/>
    <cellStyle name="Table_Header" xfId="195" xr:uid="{00000000-0005-0000-0000-000009010000}"/>
    <cellStyle name="TableBlueBody" xfId="196" xr:uid="{00000000-0005-0000-0000-00000A010000}"/>
    <cellStyle name="TableBlueHeader" xfId="197" xr:uid="{00000000-0005-0000-0000-00000B010000}"/>
    <cellStyle name="TableGreenBody" xfId="198" xr:uid="{00000000-0005-0000-0000-00000C010000}"/>
    <cellStyle name="TableGreenHeader" xfId="199" xr:uid="{00000000-0005-0000-0000-00000D010000}"/>
    <cellStyle name="TableGreyBody" xfId="200" xr:uid="{00000000-0005-0000-0000-00000E010000}"/>
    <cellStyle name="TableGreyHeader" xfId="201" xr:uid="{00000000-0005-0000-0000-00000F010000}"/>
    <cellStyle name="TableLilacBody" xfId="202" xr:uid="{00000000-0005-0000-0000-000010010000}"/>
    <cellStyle name="TableLilacHeader" xfId="203" xr:uid="{00000000-0005-0000-0000-000011010000}"/>
    <cellStyle name="TablePinkBody" xfId="204" xr:uid="{00000000-0005-0000-0000-000012010000}"/>
    <cellStyle name="TablePinkHeader" xfId="205" xr:uid="{00000000-0005-0000-0000-000013010000}"/>
    <cellStyle name="TableWhiteBody" xfId="206" xr:uid="{00000000-0005-0000-0000-000014010000}"/>
    <cellStyle name="TableWhiteHeader" xfId="207" xr:uid="{00000000-0005-0000-0000-000015010000}"/>
    <cellStyle name="TableYellowBody" xfId="208" xr:uid="{00000000-0005-0000-0000-000016010000}"/>
    <cellStyle name="TableYellowHeader" xfId="209" xr:uid="{00000000-0005-0000-0000-000017010000}"/>
    <cellStyle name="Text 1" xfId="210" xr:uid="{00000000-0005-0000-0000-000018010000}"/>
    <cellStyle name="Text Head 1" xfId="211" xr:uid="{00000000-0005-0000-0000-000019010000}"/>
    <cellStyle name="Times 10" xfId="212" xr:uid="{00000000-0005-0000-0000-00001A010000}"/>
    <cellStyle name="Times 12" xfId="213" xr:uid="{00000000-0005-0000-0000-00001B010000}"/>
    <cellStyle name="Title" xfId="214" xr:uid="{00000000-0005-0000-0000-00001C010000}"/>
    <cellStyle name="Total" xfId="215" xr:uid="{00000000-0005-0000-0000-00001D010000}"/>
    <cellStyle name="Underline_Single" xfId="216" xr:uid="{00000000-0005-0000-0000-00001E010000}"/>
    <cellStyle name="Valuta [0]_Arcen" xfId="217" xr:uid="{00000000-0005-0000-0000-00001F010000}"/>
    <cellStyle name="Valuta_Arcen" xfId="218" xr:uid="{00000000-0005-0000-0000-000020010000}"/>
    <cellStyle name="year" xfId="219" xr:uid="{00000000-0005-0000-0000-000021010000}"/>
    <cellStyle name="Yen" xfId="220" xr:uid="{00000000-0005-0000-0000-000022010000}"/>
    <cellStyle name="標準_Construction Schedule" xfId="399" xr:uid="{00000000-0005-0000-0000-000096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externalLink" Target="externalLinks/externalLink13.xml"/><Relationship Id="rId68" Type="http://schemas.openxmlformats.org/officeDocument/2006/relationships/externalLink" Target="externalLinks/externalLink18.xml"/><Relationship Id="rId84" Type="http://schemas.openxmlformats.org/officeDocument/2006/relationships/calcChain" Target="calcChain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externalLink" Target="externalLinks/externalLink3.xml"/><Relationship Id="rId58" Type="http://schemas.openxmlformats.org/officeDocument/2006/relationships/externalLink" Target="externalLinks/externalLink8.xml"/><Relationship Id="rId74" Type="http://schemas.openxmlformats.org/officeDocument/2006/relationships/externalLink" Target="externalLinks/externalLink24.xml"/><Relationship Id="rId79" Type="http://schemas.openxmlformats.org/officeDocument/2006/relationships/externalLink" Target="externalLinks/externalLink29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11.xml"/><Relationship Id="rId82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6.xml"/><Relationship Id="rId64" Type="http://schemas.openxmlformats.org/officeDocument/2006/relationships/externalLink" Target="externalLinks/externalLink14.xml"/><Relationship Id="rId69" Type="http://schemas.openxmlformats.org/officeDocument/2006/relationships/externalLink" Target="externalLinks/externalLink19.xml"/><Relationship Id="rId77" Type="http://schemas.openxmlformats.org/officeDocument/2006/relationships/externalLink" Target="externalLinks/externalLink2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72" Type="http://schemas.openxmlformats.org/officeDocument/2006/relationships/externalLink" Target="externalLinks/externalLink22.xml"/><Relationship Id="rId80" Type="http://schemas.openxmlformats.org/officeDocument/2006/relationships/externalLink" Target="externalLinks/externalLink3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9.xml"/><Relationship Id="rId67" Type="http://schemas.openxmlformats.org/officeDocument/2006/relationships/externalLink" Target="externalLinks/externalLink1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4.xml"/><Relationship Id="rId62" Type="http://schemas.openxmlformats.org/officeDocument/2006/relationships/externalLink" Target="externalLinks/externalLink12.xml"/><Relationship Id="rId70" Type="http://schemas.openxmlformats.org/officeDocument/2006/relationships/externalLink" Target="externalLinks/externalLink20.xml"/><Relationship Id="rId75" Type="http://schemas.openxmlformats.org/officeDocument/2006/relationships/externalLink" Target="externalLinks/externalLink2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2.xml"/><Relationship Id="rId60" Type="http://schemas.openxmlformats.org/officeDocument/2006/relationships/externalLink" Target="externalLinks/externalLink10.xml"/><Relationship Id="rId65" Type="http://schemas.openxmlformats.org/officeDocument/2006/relationships/externalLink" Target="externalLinks/externalLink15.xml"/><Relationship Id="rId73" Type="http://schemas.openxmlformats.org/officeDocument/2006/relationships/externalLink" Target="externalLinks/externalLink23.xml"/><Relationship Id="rId78" Type="http://schemas.openxmlformats.org/officeDocument/2006/relationships/externalLink" Target="externalLinks/externalLink2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5.xml"/><Relationship Id="rId76" Type="http://schemas.openxmlformats.org/officeDocument/2006/relationships/externalLink" Target="externalLinks/externalLink26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externalLink" Target="externalLinks/externalLink1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ocuments%20and%20Settings/maria.vavilina/Local%20Settings/Temporary%20Internet%20Files/Content.IE5/89SG7FVD/B-PL/NBPL/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/Temporary%20Internet%20Files/Content.IE5/MYLFWUB4/&#1054;&#1056;&#1054;_&#1092;&#1086;&#1088;&#1084;&#1072;&#1090;%20&#1082;&#1074;&#1072;&#1088;&#1090;&#1072;&#108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293497AD/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andergruzdev/Desktop/&#1042;&#1086;&#1083;&#1078;&#1089;&#1082;&#1080;&#1077;%20&#1089;&#1090;&#1086;&#1082;&#1080;/&#1056;&#1072;&#1089;&#1095;&#1077;&#1090;&#1099;/Cash%20Flow_&#1042;&#1057;_&#1061;&#1057;&#1047;&#1056;_CAPEX-2_2022.06.3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andergruzdev/Desktop/&#1042;&#1086;&#1083;&#1078;&#1089;&#1082;&#1080;&#1077;%20&#1089;&#1090;&#1086;&#1082;&#1080;/&#1048;&#1089;&#1093;&#1086;&#1076;&#1085;&#1080;&#1082;&#1080;/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(&#1089;%20&#1055;&#1040;&#1054;%20&#1060;&#1057;&#1050;)%2012.2021%20&#1088;&#1072;&#1089;&#1082;&#1088;%20&#1080;&#1085;&#1092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/&#1050;&#1088;&#1077;&#1076;&#1080;&#1090;&#1085;&#1099;&#1081;%20&#1086;&#1090;&#1076;&#1077;&#1083;/&#1050;&#1091;&#1095;&#1080;&#1085;/&#1051;&#1077;&#1086;&#1085;&#1080;&#1076;/&#1041;&#1102;&#1076;&#1078;&#1077;&#1090;&#1099;/&#1041;&#1102;&#1076;&#1078;&#1077;&#1090;&#1099;%20&#1087;&#1088;&#1086;&#1077;&#1082;&#1090;&#1086;&#1074;/&#1041;&#1102;&#1076;&#1078;&#1077;&#1090;%20&#1087;&#1088;&#1086;&#1077;&#1082;&#1090;&#1086;&#1074;%20008%2031.01.2008%20&#1075;%20(+&#1064;.&#1054;.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CF_&#1040;&#1083;&#1100;&#1090;_&#1043;&#1088;&#1091;&#1085;&#1076;&#1083;&#1072;&#1075;&#1077;+&#1048;&#1085;&#1090;&#1077;&#1083;&#1084;&#1077;&#1076;_ver_221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/&#1055;&#1088;&#1086;&#1077;&#1082;&#1090;&#1099;/&#1040;&#1074;&#1080;&#1077;&#1083;&#1077;&#1085;/ai6_&#1089;&#1091;&#1084;&#1084;_&#1040;&#1074;&#1080;&#1077;&#1083;&#1077;&#1085;_28.04.2013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/&#1055;&#1088;&#1086;&#1077;&#1082;&#1090;&#1099;/&#1040;&#1074;&#1080;&#1077;&#1083;&#1077;&#1085;/ai6_&#1089;&#1091;&#1084;&#1084;_&#1040;&#1074;&#1080;&#1077;&#1083;&#1077;&#1085;_28.04.2013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/&#1055;&#1088;&#1086;&#1077;&#1082;&#1090;&#1099;/&#1040;&#1074;&#1080;&#1077;&#1083;&#1077;&#1085;/ai6_&#1089;&#1091;&#1084;&#1084;_&#1040;&#1074;&#1080;&#1077;&#1083;&#1077;&#1085;_28.04.2013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ocuments%20and%20Settings/elena.novak/Local%20Settings/Temporary%20Internet%20Files/Content.IE5/U9EKCCMM/&#1054;&#1090;&#1076;%20&#1087;&#1083;&#1072;&#1090;&#1072;%20&#1079;&#1072;%20&#1087;&#1077;&#1088;&#1077;&#1076;&#1072;&#1095;&#1091;/&#1055;&#1077;&#1088;&#1077;&#1076;&#1072;&#1095;&#1072;%202007/&#1058;&#1072;&#1088;&#1080;&#1092;&#1099;/&#1057;&#1077;&#1088;&#1075;&#1077;&#1081;%20&#1055;&#1086;&#1076;&#1083;/&#1058;&#1086;&#1084;&#1089;&#1082;/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WINDOWS/Temporary%20Internet%20Files/Content.IE5/Z8CDCF3W/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&#1044;&#1086;&#1084;&#1072;&#1096;&#1085;&#1080;&#1081;%20&#1082;&#1086;&#1084;&#1087;_2014.11.01/&#1050;&#1083;&#1080;&#1077;&#1085;&#1090;&#1099;/&#1058;&#1077;&#1093;&#1085;&#1086;&#1082;&#1086;&#1088;&#1076;/&#1056;&#1072;&#1089;&#1095;&#1077;&#1090;&#1099;/&#1060;&#1080;&#1085;%20&#1084;&#1086;&#1076;&#1077;&#1083;&#1100;_&#1058;&#1077;&#1093;&#1085;&#1086;&#1082;&#1086;&#1088;&#1076;_ai71_ver%202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4;&#1072;&#1096;&#1085;&#1080;&#1081;%20&#1082;&#1086;&#1084;&#1087;_2014.11.01/&#1050;&#1083;&#1080;&#1077;&#1085;&#1090;&#1099;/&#1058;&#1077;&#1093;&#1085;&#1086;&#1082;&#1086;&#1088;&#1076;/&#1056;&#1072;&#1089;&#1095;&#1077;&#1090;&#1099;/&#1060;&#1080;&#1085;%20&#1084;&#1086;&#1076;&#1077;&#1083;&#1100;_&#1058;&#1077;&#1093;&#1085;&#1086;&#1082;&#1086;&#1088;&#1076;_ai71_ver%202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/&#1044;&#1086;&#1084;&#1072;&#1096;&#1085;&#1080;&#1081;%20&#1082;&#1086;&#1084;&#1087;_2014.11.01/&#1050;&#1083;&#1080;&#1077;&#1085;&#1090;&#1099;/&#1058;&#1077;&#1093;&#1085;&#1086;&#1082;&#1086;&#1088;&#1076;/&#1056;&#1072;&#1089;&#1095;&#1077;&#1090;&#1099;/&#1060;&#1080;&#1085;%20&#1084;&#1086;&#1076;&#1077;&#1083;&#1100;_&#1058;&#1077;&#1093;&#1085;&#1086;&#1082;&#1086;&#1088;&#1076;_ai71_ver%202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ocuments%20and%20Settings/elena.novak/Local%20Settings/Temporary%20Internet%20Files/Content.IE5/U9EKCCMM/Documents%20and%20Settings/dromanenko/&#1056;&#1072;&#1073;&#1086;&#1095;&#1080;&#1081;%20&#1089;&#1090;&#1086;&#1083;/proverk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r/Departments/&#1062;&#1077;&#1085;&#1086;&#1086;&#1073;&#1088;&#1072;&#1079;&#1086;&#1074;&#1072;&#1085;&#1080;&#1103;%20&#1074;%20&#1101;&#1085;&#1077;&#1088;&#1075;&#1077;&#1090;&#1080;&#1082;&#1077;/&#1056;&#1046;&#1040;&#1042;&#1048;&#1053;&#1040;%20&#1047;%20&#1043;/&#1052;&#1086;&#1085;&#1080;&#1090;&#1086;&#1088;&#1080;&#1085;&#1075;%202007/&#1052;&#1086;&#1085;&#1080;&#1090;&#1086;&#1088;&#1080;&#1085;&#1075;%20_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ocuments%20and%20Settings/elena.novak/Local%20Settings/Temporary%20Internet%20Files/Content.IE5/U9EKCCMM/&#1052;&#1086;&#1080;%20&#1076;&#1086;&#1082;&#1091;&#1084;&#1077;&#1085;&#1090;&#1099;/Elena/LETTER%20FEK/2007/&#1055;&#1088;&#1077;&#1076;&#1077;&#1083;&#1100;&#1085;&#1099;&#1077;%202008/&#1069;&#1083;&#1077;&#1082;&#1090;&#1088;&#1086;&#1101;&#1085;&#1077;&#1088;&#1075;&#1080;&#1103;/&#1052;&#1091;&#1088;&#1084;&#1072;&#1085;&#1089;&#1082;&#1072;&#1103;%20&#1086;&#1073;&#1083;&#1072;&#1089;&#1090;&#1100;%20(2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ocuments%20and%20Settings/maria.vavilina/Local%20Settings/Temporary%20Internet%20Files/Content.IE5/89SG7FVD/Documents%20and%20Settings/tumchenok/Local%20Settings/Temporary%20Internet%20Files/Content.IE5/4TIJK9MN/&#1092;&#1086;&#1088;&#1084;&#1099;%20&#1045;&#1048;&#1040;&#1057;/20E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smas/&#1044;&#1086;&#1082;&#1091;&#1084;&#1077;&#1085;&#1090;&#1099;%20&#1045;&#1048;&#1040;&#1057;/&#1045;&#1048;&#1040;&#1057;/&#1057;&#1077;&#1088;&#1077;&#1075;&#1072;/mon1.ver4/Values/&#1040;&#1084;&#1091;&#1088;&#1089;&#1082;&#1072;&#1103;%20&#1086;&#1073;&#1083;&#1072;&#1089;&#1090;&#1100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smas/&#1044;&#1086;&#1082;&#1091;&#1084;&#1077;&#1085;&#1090;&#1099;%20&#1045;&#1048;&#1040;&#1057;/Templates/&#1046;&#1050;&#1059;/markup/&#1042;%20&#1056;&#1069;&#1050;&#1080;%20&#1087;&#1083;&#1072;&#1090;&#1072;%20&#1046;&#1050;&#1059;%20ver%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ocuments%20and%20Settings/maria.vavilina/Local%20Settings/Temporary%20Internet%20Files/Content.IE5/89SG7FVD/&#1052;&#1086;&#1080;%20&#1076;&#1086;&#1082;&#1091;&#1084;&#1077;&#1085;&#1090;&#1099;/&#1064;&#1072;&#1073;&#1083;&#1086;&#1085;%20%20&#1060;&#1057;&#1058;%20&#1087;&#1086;%20&#1090;&#1072;&#1088;&#1080;&#1092;&#1072;&#1084;%20(&#1075;&#1077;&#1085;&#1077;&#1088;&#1072;&#1094;&#1080;&#1103;)/GR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7CD6CBC4/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mainmail/&#1092;&#1086;&#1088;&#1101;&#1084;/DOCUME~1/DROMAN~1/LOCALS~1/Temp/notes6030C8/~504795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mainmail/&#1092;&#1086;&#1088;&#1101;&#1084;/DOCUME~1/DROMAN~1/LOCALS~1/Temp/notes6030C8/GRES.2007.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/&#1050;&#1088;&#1077;&#1076;&#1080;&#1090;&#1085;&#1099;&#1081;%20&#1086;&#1090;&#1076;&#1077;&#1083;/&#1050;&#1091;&#1095;&#1080;&#1085;/&#1051;&#1077;&#1086;&#1085;&#1080;&#1076;/&#1041;&#1102;&#1076;&#1078;&#1077;&#1090;&#1099;/&#1054;&#1090;&#1095;&#1077;&#1090;%20&#1087;&#1086;%20&#1087;&#1088;&#1086;&#1077;&#1082;&#1090;&#1072;&#1084;/&#1055;&#1083;&#1072;&#1085;-012-11.03.08%20(&#1087;&#1083;&#1072;&#1085;%20&#1087;&#1088;&#1086;&#1076;&#1072;&#1078;%2004.03.2008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-nina/c/&#1052;&#1086;&#1080;%20&#1076;&#1086;&#1082;&#1091;&#1084;&#1077;&#1085;&#1090;&#1099;/fek%202002/FEK%202002.&#105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ocuments%20and%20Settings/maria.vavilina/Local%20Settings/Temporary%20Internet%20Files/Content.IE5/89SG7FVD/PEO/Kiiski/&#1060;-1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mas/&#1044;&#1086;&#1082;&#1091;&#1084;&#1077;&#1085;&#1090;&#1099;%20&#1045;&#1048;&#1040;&#1057;/DOCUME~1/OKAKUR~1/LOCALS~1/Temp/notes6030C8/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_Допущения"/>
      <sheetName val="1_Резюме"/>
      <sheetName val="2_Бюджет"/>
      <sheetName val="3_Здания"/>
      <sheetName val="3-1_S"/>
      <sheetName val="4_ПСД"/>
      <sheetName val="5_Оборуд"/>
      <sheetName val="Инф-ция"/>
      <sheetName val="6_Лабор"/>
      <sheetName val="20_Выручка"/>
      <sheetName val="8_Цены_ГП"/>
      <sheetName val="9_Пр-во"/>
      <sheetName val="10_К-ция"/>
      <sheetName val="11_Цены_СиМ"/>
      <sheetName val="12_ФОТ"/>
      <sheetName val="13_Пост. Расх."/>
      <sheetName val="14_Кредит"/>
      <sheetName val="21_ПДДС"/>
      <sheetName val="График"/>
      <sheetName val="16_Эффект"/>
      <sheetName val="ПР_дин"/>
      <sheetName val="Расх_дин"/>
      <sheetName val="Пер. Расх_дин"/>
      <sheetName val="НДС"/>
      <sheetName val="Tax"/>
      <sheetName val="ЗН"/>
      <sheetName val="Курс"/>
      <sheetName val="16_РЗ"/>
      <sheetName val="Ам-ция"/>
      <sheetName val="Газ"/>
      <sheetName val="Тепло_В"/>
      <sheetName val="Тариф_Эл-Эн"/>
      <sheetName val="4_ЦК_до 10 мВт"/>
      <sheetName val="Эл-Эн"/>
      <sheetName val="Эл-Эн_ПЛ"/>
      <sheetName val="Эл-Эн_Вент"/>
      <sheetName val="Газ_Итог"/>
      <sheetName val="Вода"/>
      <sheetName val="Кан-ция"/>
      <sheetName val="Хоз-быт"/>
      <sheetName val="Ливневка"/>
      <sheetName val="Очистка П"/>
      <sheetName val="Утиль"/>
      <sheetName val="Мойка"/>
      <sheetName val="Утиль_Альт"/>
      <sheetName val="Пар"/>
      <sheetName val="Отопле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10">
          <cell r="F310">
            <v>203257.28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</sheetNames>
    <sheetDataSet>
      <sheetData sheetId="0">
        <row r="2">
          <cell r="A2" t="str">
            <v>покупателям (потребителям) ПАО "Волгоградэнергосбыт" в декабре 2021г.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98">
          <cell r="K298">
            <v>0.06</v>
          </cell>
        </row>
        <row r="302">
          <cell r="K302">
            <v>160.09</v>
          </cell>
        </row>
      </sheetData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"/>
      <sheetName val="Расходы 2006"/>
      <sheetName val="ВПЮГ"/>
      <sheetName val="ЛЕН-ЖУК"/>
      <sheetName val="Яросл."/>
      <sheetName val="Б Ю Д Ж Е Т "/>
      <sheetName val="Кредиты"/>
      <sheetName val="ГОД"/>
      <sheetName val="Продажи 23.01.08"/>
      <sheetName val="Продажи 15.01.08"/>
      <sheetName val="Ш.О. для К.Д."/>
      <sheetName val="Общий итог"/>
      <sheetName val="Доминанта для К.Д."/>
      <sheetName val="Продажи 24.12.07"/>
      <sheetName val="Ярославский для К.Д."/>
      <sheetName val="Маяк для К.Д."/>
      <sheetName val="Продажи 03.12.07"/>
      <sheetName val="Продажи 18.12.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т"/>
      <sheetName val="Пр.2"/>
      <sheetName val="Портфель"/>
      <sheetName val="Цены_Перчатки"/>
      <sheetName val="Цены_Исх"/>
      <sheetName val="Наценка"/>
      <sheetName val="Отчет"/>
      <sheetName val="С-С"/>
      <sheetName val="Пр-во"/>
      <sheetName val="Курс"/>
      <sheetName val="Options"/>
      <sheetName val="Language"/>
    </sheetNames>
    <sheetDataSet>
      <sheetData sheetId="0">
        <row r="77">
          <cell r="B77">
            <v>1</v>
          </cell>
        </row>
      </sheetData>
      <sheetData sheetId="1"/>
      <sheetData sheetId="2">
        <row r="28">
          <cell r="A28" t="str">
            <v>Периоды осуществления проектов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6.1</v>
          </cell>
        </row>
        <row r="7">
          <cell r="B7" t="b">
            <v>0</v>
          </cell>
        </row>
        <row r="8">
          <cell r="B8" t="b">
            <v>0</v>
          </cell>
        </row>
        <row r="10">
          <cell r="B10" t="b">
            <v>1</v>
          </cell>
        </row>
        <row r="11">
          <cell r="B11" t="b">
            <v>0</v>
          </cell>
        </row>
      </sheetData>
      <sheetData sheetId="11">
        <row r="2">
          <cell r="A2">
            <v>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т"/>
      <sheetName val="Пр.2"/>
      <sheetName val="Портфель"/>
      <sheetName val="Отчет"/>
      <sheetName val="Options"/>
      <sheetName val="Language"/>
      <sheetName val="%_to model"/>
      <sheetName val="Пок_CRM_свод"/>
      <sheetName val="Indices_Share Hold"/>
      <sheetName val="Расшифровка ОС"/>
      <sheetName val="Rent_Hotel"/>
      <sheetName val="ФОТ_БЦ"/>
      <sheetName val="Коммуналка_Hotel"/>
      <sheetName val="Общие расходы_БЦ"/>
      <sheetName val="P&amp;L_Hotel"/>
      <sheetName val="structure of occup"/>
      <sheetName val="Types of rooms"/>
      <sheetName val="OPEX_БЦ"/>
      <sheetName val="Property tax"/>
      <sheetName val="Аренда_ГП"/>
      <sheetName val="Аренда_Факт"/>
      <sheetName val="Константы"/>
      <sheetName val="Occup"/>
      <sheetName val="P&amp;L_04.12"/>
      <sheetName val="P&amp;L_06.12"/>
      <sheetName val="P&amp;L_07.12"/>
      <sheetName val="P&amp;L_08.12"/>
      <sheetName val="P&amp;L_09.12"/>
      <sheetName val="P&amp;L_10.12"/>
      <sheetName val="P&amp;L_11.12"/>
      <sheetName val="P&amp;L_12.12"/>
      <sheetName val="P&amp;L_01.13"/>
      <sheetName val="P&amp;L_02.13"/>
      <sheetName val="03.13"/>
      <sheetName val="Bre Bank"/>
      <sheetName val="EBITDA"/>
    </sheetNames>
    <sheetDataSet>
      <sheetData sheetId="0">
        <row r="77">
          <cell r="B77">
            <v>2</v>
          </cell>
        </row>
      </sheetData>
      <sheetData sheetId="1">
        <row r="617">
          <cell r="F617">
            <v>975110.10884400446</v>
          </cell>
        </row>
      </sheetData>
      <sheetData sheetId="2">
        <row r="28">
          <cell r="A28" t="str">
            <v>Периоды осуществления проектов</v>
          </cell>
        </row>
      </sheetData>
      <sheetData sheetId="3"/>
      <sheetData sheetId="4">
        <row r="5">
          <cell r="B5" t="str">
            <v>6.1</v>
          </cell>
        </row>
        <row r="7">
          <cell r="B7" t="b">
            <v>0</v>
          </cell>
        </row>
        <row r="8">
          <cell r="B8" t="b">
            <v>0</v>
          </cell>
        </row>
        <row r="10">
          <cell r="B10" t="b">
            <v>1</v>
          </cell>
        </row>
        <row r="11">
          <cell r="B11" t="b">
            <v>0</v>
          </cell>
        </row>
      </sheetData>
      <sheetData sheetId="5">
        <row r="2">
          <cell r="A2">
            <v>1</v>
          </cell>
        </row>
      </sheetData>
      <sheetData sheetId="6">
        <row r="1">
          <cell r="C1">
            <v>41470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т"/>
      <sheetName val="Пр.2"/>
      <sheetName val="Портфель"/>
      <sheetName val="Отчет"/>
      <sheetName val="Options"/>
      <sheetName val="Language"/>
      <sheetName val="%_to model"/>
      <sheetName val="Пок_CRM_свод"/>
      <sheetName val="Indices_Share Hold"/>
      <sheetName val="Расшифровка ОС"/>
      <sheetName val="Rent_Hotel"/>
      <sheetName val="ФОТ_БЦ"/>
      <sheetName val="Коммуналка_Hotel"/>
      <sheetName val="Общие расходы_БЦ"/>
      <sheetName val="P&amp;L_Hotel"/>
      <sheetName val="structure of occup"/>
      <sheetName val="Types of rooms"/>
      <sheetName val="OPEX_БЦ"/>
      <sheetName val="Property tax"/>
      <sheetName val="Аренда_ГП"/>
      <sheetName val="Аренда_Факт"/>
      <sheetName val="Константы"/>
      <sheetName val="Occup"/>
      <sheetName val="P&amp;L_04.12"/>
      <sheetName val="P&amp;L_06.12"/>
      <sheetName val="P&amp;L_07.12"/>
      <sheetName val="P&amp;L_08.12"/>
      <sheetName val="P&amp;L_09.12"/>
      <sheetName val="P&amp;L_10.12"/>
      <sheetName val="P&amp;L_11.12"/>
      <sheetName val="P&amp;L_12.12"/>
      <sheetName val="P&amp;L_01.13"/>
      <sheetName val="P&amp;L_02.13"/>
      <sheetName val="03.13"/>
      <sheetName val="Bre Bank"/>
      <sheetName val="EBITDA"/>
    </sheetNames>
    <sheetDataSet>
      <sheetData sheetId="0">
        <row r="77">
          <cell r="B77">
            <v>2</v>
          </cell>
        </row>
      </sheetData>
      <sheetData sheetId="1">
        <row r="617">
          <cell r="F617">
            <v>975110.10884400446</v>
          </cell>
        </row>
      </sheetData>
      <sheetData sheetId="2">
        <row r="28">
          <cell r="A28" t="str">
            <v>Периоды осуществления проектов</v>
          </cell>
        </row>
      </sheetData>
      <sheetData sheetId="3"/>
      <sheetData sheetId="4">
        <row r="5">
          <cell r="B5" t="str">
            <v>6.1</v>
          </cell>
        </row>
        <row r="7">
          <cell r="B7" t="b">
            <v>0</v>
          </cell>
        </row>
        <row r="8">
          <cell r="B8" t="b">
            <v>0</v>
          </cell>
        </row>
        <row r="10">
          <cell r="B10" t="b">
            <v>1</v>
          </cell>
        </row>
        <row r="11">
          <cell r="B11" t="b">
            <v>0</v>
          </cell>
        </row>
      </sheetData>
      <sheetData sheetId="5">
        <row r="2">
          <cell r="A2">
            <v>1</v>
          </cell>
        </row>
      </sheetData>
      <sheetData sheetId="6">
        <row r="1">
          <cell r="C1">
            <v>41470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т"/>
      <sheetName val="Пр.2"/>
      <sheetName val="Портфель"/>
      <sheetName val="Отчет"/>
      <sheetName val="Options"/>
      <sheetName val="Language"/>
      <sheetName val="%_to model"/>
      <sheetName val="Пок_CRM_свод"/>
      <sheetName val="Indices_Share Hold"/>
      <sheetName val="Расшифровка ОС"/>
      <sheetName val="Rent_Hotel"/>
      <sheetName val="ФОТ_БЦ"/>
      <sheetName val="Коммуналка_Hotel"/>
      <sheetName val="Общие расходы_БЦ"/>
      <sheetName val="P&amp;L_Hotel"/>
      <sheetName val="structure of occup"/>
      <sheetName val="Types of rooms"/>
      <sheetName val="OPEX_БЦ"/>
      <sheetName val="Property tax"/>
      <sheetName val="Аренда_ГП"/>
      <sheetName val="Аренда_Факт"/>
      <sheetName val="Константы"/>
      <sheetName val="Occup"/>
      <sheetName val="P&amp;L_04.12"/>
      <sheetName val="P&amp;L_06.12"/>
      <sheetName val="P&amp;L_07.12"/>
      <sheetName val="P&amp;L_08.12"/>
      <sheetName val="P&amp;L_09.12"/>
      <sheetName val="P&amp;L_10.12"/>
      <sheetName val="P&amp;L_11.12"/>
      <sheetName val="P&amp;L_12.12"/>
      <sheetName val="P&amp;L_01.13"/>
      <sheetName val="P&amp;L_02.13"/>
      <sheetName val="03.13"/>
      <sheetName val="Bre Bank"/>
      <sheetName val="EBITDA"/>
    </sheetNames>
    <sheetDataSet>
      <sheetData sheetId="0">
        <row r="77">
          <cell r="B77">
            <v>2</v>
          </cell>
        </row>
      </sheetData>
      <sheetData sheetId="1">
        <row r="617">
          <cell r="F617">
            <v>975110.10884400446</v>
          </cell>
        </row>
      </sheetData>
      <sheetData sheetId="2">
        <row r="28">
          <cell r="A28" t="str">
            <v>Периоды осуществления проектов</v>
          </cell>
        </row>
      </sheetData>
      <sheetData sheetId="3"/>
      <sheetData sheetId="4">
        <row r="5">
          <cell r="B5" t="str">
            <v>6.1</v>
          </cell>
        </row>
        <row r="7">
          <cell r="B7" t="b">
            <v>0</v>
          </cell>
        </row>
        <row r="8">
          <cell r="B8" t="b">
            <v>0</v>
          </cell>
        </row>
        <row r="10">
          <cell r="B10" t="b">
            <v>1</v>
          </cell>
        </row>
        <row r="11">
          <cell r="B11" t="b">
            <v>0</v>
          </cell>
        </row>
      </sheetData>
      <sheetData sheetId="5">
        <row r="2">
          <cell r="A2">
            <v>1</v>
          </cell>
        </row>
      </sheetData>
      <sheetData sheetId="6">
        <row r="1">
          <cell r="C1">
            <v>41470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Старт"/>
      <sheetName val="Проект"/>
      <sheetName val="Результаты"/>
      <sheetName val="Графики"/>
      <sheetName val="Сценарии"/>
      <sheetName val="Отчет"/>
      <sheetName val="Сравнение"/>
      <sheetName val="МБ"/>
      <sheetName val="1_Пр-во"/>
      <sheetName val="2_Эфф"/>
      <sheetName val="Бюдж эфф"/>
      <sheetName val="3_Кап"/>
      <sheetName val="4_Транши"/>
      <sheetName val="Language"/>
      <sheetName val="Options"/>
    </sheetNames>
    <sheetDataSet>
      <sheetData sheetId="0">
        <row r="4">
          <cell r="A4" t="str">
            <v>Завод по переработке пшеницы</v>
          </cell>
        </row>
        <row r="8">
          <cell r="D8">
            <v>1</v>
          </cell>
        </row>
        <row r="9">
          <cell r="D9">
            <v>0</v>
          </cell>
        </row>
        <row r="10">
          <cell r="D10">
            <v>5</v>
          </cell>
        </row>
        <row r="16">
          <cell r="B16">
            <v>43191</v>
          </cell>
        </row>
        <row r="17">
          <cell r="D17">
            <v>44</v>
          </cell>
        </row>
        <row r="18">
          <cell r="D18">
            <v>10</v>
          </cell>
        </row>
        <row r="19">
          <cell r="D19">
            <v>2</v>
          </cell>
        </row>
        <row r="21">
          <cell r="D21">
            <v>3</v>
          </cell>
        </row>
        <row r="22">
          <cell r="B22">
            <v>2018</v>
          </cell>
        </row>
        <row r="23">
          <cell r="B23">
            <v>4</v>
          </cell>
        </row>
        <row r="40">
          <cell r="B40">
            <v>1</v>
          </cell>
        </row>
        <row r="42">
          <cell r="B42" t="str">
            <v>тыс. руб.</v>
          </cell>
        </row>
        <row r="52">
          <cell r="B52" t="str">
            <v>EUR</v>
          </cell>
        </row>
        <row r="58">
          <cell r="B58" t="str">
            <v>$</v>
          </cell>
        </row>
        <row r="64">
          <cell r="B64">
            <v>1</v>
          </cell>
        </row>
        <row r="74">
          <cell r="B74">
            <v>2</v>
          </cell>
        </row>
      </sheetData>
      <sheetData sheetId="1" refreshError="1"/>
      <sheetData sheetId="2">
        <row r="188">
          <cell r="G188">
            <v>0</v>
          </cell>
        </row>
        <row r="206"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821522.76304734068</v>
          </cell>
          <cell r="S206">
            <v>985827.31565680867</v>
          </cell>
          <cell r="T206">
            <v>1150131.8682662768</v>
          </cell>
          <cell r="U206">
            <v>1314436.4208757449</v>
          </cell>
          <cell r="V206">
            <v>1478740.973485213</v>
          </cell>
          <cell r="W206">
            <v>1560893.2497899472</v>
          </cell>
          <cell r="X206">
            <v>1560893.2497899472</v>
          </cell>
          <cell r="Y206">
            <v>1560893.2497899472</v>
          </cell>
          <cell r="Z206">
            <v>1643045.5260946814</v>
          </cell>
          <cell r="AA206">
            <v>1643045.5260946814</v>
          </cell>
          <cell r="AB206">
            <v>1643045.5260946814</v>
          </cell>
          <cell r="AC206">
            <v>1643045.5260946814</v>
          </cell>
          <cell r="AD206">
            <v>1643045.5260946814</v>
          </cell>
          <cell r="AE206">
            <v>1643045.5260946814</v>
          </cell>
          <cell r="AF206">
            <v>1643045.5260946814</v>
          </cell>
          <cell r="AG206">
            <v>1643045.5260946814</v>
          </cell>
          <cell r="AH206">
            <v>1643045.5260946814</v>
          </cell>
          <cell r="AI206">
            <v>1643045.5260946814</v>
          </cell>
          <cell r="AJ206">
            <v>1643045.5260946814</v>
          </cell>
          <cell r="AK206">
            <v>1643045.5260946814</v>
          </cell>
          <cell r="AL206">
            <v>1643045.5260946814</v>
          </cell>
          <cell r="AM206">
            <v>1643045.5260946814</v>
          </cell>
          <cell r="AN206">
            <v>1643045.5260946814</v>
          </cell>
          <cell r="AO206">
            <v>1643045.5260946814</v>
          </cell>
          <cell r="AP206">
            <v>1643045.5260946814</v>
          </cell>
          <cell r="AQ206">
            <v>1643045.5260946814</v>
          </cell>
          <cell r="AR206">
            <v>1643045.5260946814</v>
          </cell>
          <cell r="AS206">
            <v>1643045.5260946814</v>
          </cell>
          <cell r="AT206">
            <v>1643045.5260946814</v>
          </cell>
          <cell r="AU206">
            <v>1643045.5260946814</v>
          </cell>
          <cell r="AV206">
            <v>1643045.5260946814</v>
          </cell>
          <cell r="AW206">
            <v>1643045.5260946814</v>
          </cell>
          <cell r="AX206">
            <v>1643045.5260946814</v>
          </cell>
        </row>
        <row r="207"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102877.7882699887</v>
          </cell>
          <cell r="S207">
            <v>123453.34592398643</v>
          </cell>
          <cell r="T207">
            <v>144028.90357798417</v>
          </cell>
          <cell r="U207">
            <v>164604.46123198193</v>
          </cell>
          <cell r="V207">
            <v>185180.01888597963</v>
          </cell>
          <cell r="W207">
            <v>195467.79771297853</v>
          </cell>
          <cell r="X207">
            <v>195467.79771297853</v>
          </cell>
          <cell r="Y207">
            <v>195467.79771297853</v>
          </cell>
          <cell r="Z207">
            <v>205755.5765399774</v>
          </cell>
          <cell r="AA207">
            <v>205755.5765399774</v>
          </cell>
          <cell r="AB207">
            <v>205755.5765399774</v>
          </cell>
          <cell r="AC207">
            <v>205755.5765399774</v>
          </cell>
          <cell r="AD207">
            <v>205755.5765399774</v>
          </cell>
          <cell r="AE207">
            <v>205755.5765399774</v>
          </cell>
          <cell r="AF207">
            <v>205755.5765399774</v>
          </cell>
          <cell r="AG207">
            <v>205755.5765399774</v>
          </cell>
          <cell r="AH207">
            <v>205755.5765399774</v>
          </cell>
          <cell r="AI207">
            <v>205755.5765399774</v>
          </cell>
          <cell r="AJ207">
            <v>205755.5765399774</v>
          </cell>
          <cell r="AK207">
            <v>205755.5765399774</v>
          </cell>
          <cell r="AL207">
            <v>205755.5765399774</v>
          </cell>
          <cell r="AM207">
            <v>205755.5765399774</v>
          </cell>
          <cell r="AN207">
            <v>205755.5765399774</v>
          </cell>
          <cell r="AO207">
            <v>205755.5765399774</v>
          </cell>
          <cell r="AP207">
            <v>205755.5765399774</v>
          </cell>
          <cell r="AQ207">
            <v>205755.5765399774</v>
          </cell>
          <cell r="AR207">
            <v>205755.5765399774</v>
          </cell>
          <cell r="AS207">
            <v>205755.5765399774</v>
          </cell>
          <cell r="AT207">
            <v>205755.5765399774</v>
          </cell>
          <cell r="AU207">
            <v>205755.5765399774</v>
          </cell>
          <cell r="AV207">
            <v>205755.5765399774</v>
          </cell>
          <cell r="AW207">
            <v>205755.5765399774</v>
          </cell>
          <cell r="AX207">
            <v>205755.5765399774</v>
          </cell>
        </row>
        <row r="208"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821689.37894873705</v>
          </cell>
          <cell r="S208">
            <v>1088738.4271070764</v>
          </cell>
          <cell r="T208">
            <v>1273618.5373705423</v>
          </cell>
          <cell r="U208">
            <v>1458498.6476340084</v>
          </cell>
          <cell r="V208">
            <v>1643378.7578974743</v>
          </cell>
          <cell r="W208">
            <v>1746089.9302660665</v>
          </cell>
          <cell r="X208">
            <v>1756361.0475029256</v>
          </cell>
          <cell r="Y208">
            <v>1756361.0475029256</v>
          </cell>
          <cell r="Z208">
            <v>1838529.9853977992</v>
          </cell>
          <cell r="AA208">
            <v>1848801.1026346588</v>
          </cell>
          <cell r="AB208">
            <v>1848801.1026346588</v>
          </cell>
          <cell r="AC208">
            <v>1848801.1026346588</v>
          </cell>
          <cell r="AD208">
            <v>1848801.1026346588</v>
          </cell>
          <cell r="AE208">
            <v>1848801.1026346588</v>
          </cell>
          <cell r="AF208">
            <v>1848801.1026346588</v>
          </cell>
          <cell r="AG208">
            <v>1848801.1026346588</v>
          </cell>
          <cell r="AH208">
            <v>1848801.1026346588</v>
          </cell>
          <cell r="AI208">
            <v>1848801.1026346588</v>
          </cell>
          <cell r="AJ208">
            <v>1848801.1026346588</v>
          </cell>
          <cell r="AK208">
            <v>1848801.1026346588</v>
          </cell>
          <cell r="AL208">
            <v>1848801.1026346588</v>
          </cell>
          <cell r="AM208">
            <v>1848801.1026346588</v>
          </cell>
          <cell r="AN208">
            <v>1848801.1026346588</v>
          </cell>
          <cell r="AO208">
            <v>1848801.1026346588</v>
          </cell>
          <cell r="AP208">
            <v>1848801.1026346588</v>
          </cell>
          <cell r="AQ208">
            <v>1848801.1026346588</v>
          </cell>
          <cell r="AR208">
            <v>1848801.1026346588</v>
          </cell>
          <cell r="AS208">
            <v>1848801.1026346588</v>
          </cell>
          <cell r="AT208">
            <v>1848801.1026346588</v>
          </cell>
          <cell r="AU208">
            <v>1848801.1026346588</v>
          </cell>
          <cell r="AV208">
            <v>1848801.1026346588</v>
          </cell>
          <cell r="AW208">
            <v>1848801.1026346588</v>
          </cell>
          <cell r="AX208">
            <v>1848801.1026346588</v>
          </cell>
        </row>
        <row r="209"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102711.17236859216</v>
          </cell>
          <cell r="S209">
            <v>123253.40684231056</v>
          </cell>
          <cell r="T209">
            <v>143795.64131602898</v>
          </cell>
          <cell r="U209">
            <v>164337.87578974743</v>
          </cell>
          <cell r="V209">
            <v>184880.11026346587</v>
          </cell>
          <cell r="W209">
            <v>195151.22750032507</v>
          </cell>
          <cell r="X209">
            <v>195151.22750032507</v>
          </cell>
          <cell r="Y209">
            <v>195151.22750032507</v>
          </cell>
          <cell r="Z209">
            <v>205422.34473718432</v>
          </cell>
          <cell r="AA209">
            <v>205422.34473718432</v>
          </cell>
          <cell r="AB209">
            <v>205422.34473718432</v>
          </cell>
          <cell r="AC209">
            <v>205422.34473718432</v>
          </cell>
          <cell r="AD209">
            <v>205422.34473718432</v>
          </cell>
          <cell r="AE209">
            <v>205422.34473718432</v>
          </cell>
          <cell r="AF209">
            <v>205422.34473718432</v>
          </cell>
          <cell r="AG209">
            <v>205422.34473718432</v>
          </cell>
          <cell r="AH209">
            <v>205422.34473718432</v>
          </cell>
          <cell r="AI209">
            <v>205422.34473718432</v>
          </cell>
          <cell r="AJ209">
            <v>205422.34473718432</v>
          </cell>
          <cell r="AK209">
            <v>205422.34473718432</v>
          </cell>
          <cell r="AL209">
            <v>205422.34473718432</v>
          </cell>
          <cell r="AM209">
            <v>205422.34473718432</v>
          </cell>
          <cell r="AN209">
            <v>205422.34473718432</v>
          </cell>
          <cell r="AO209">
            <v>205422.34473718432</v>
          </cell>
          <cell r="AP209">
            <v>205422.34473718432</v>
          </cell>
          <cell r="AQ209">
            <v>205422.34473718432</v>
          </cell>
          <cell r="AR209">
            <v>205422.34473718432</v>
          </cell>
          <cell r="AS209">
            <v>205422.34473718432</v>
          </cell>
          <cell r="AT209">
            <v>205422.34473718432</v>
          </cell>
          <cell r="AU209">
            <v>205422.34473718432</v>
          </cell>
          <cell r="AV209">
            <v>205422.34473718432</v>
          </cell>
          <cell r="AW209">
            <v>205422.34473718432</v>
          </cell>
          <cell r="AX209">
            <v>205422.34473718432</v>
          </cell>
        </row>
        <row r="210"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</row>
        <row r="211"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</row>
        <row r="212"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</row>
        <row r="213"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-1.8917489796876907E-10</v>
          </cell>
          <cell r="S213">
            <v>-1.6007106751203537E-10</v>
          </cell>
          <cell r="T213">
            <v>-3.7834979593753815E-10</v>
          </cell>
          <cell r="U213">
            <v>5.8207660913467407E-10</v>
          </cell>
          <cell r="V213">
            <v>1.1641532182693481E-10</v>
          </cell>
          <cell r="W213">
            <v>2.9103830456733704E-11</v>
          </cell>
          <cell r="X213">
            <v>-1.862645149230957E-9</v>
          </cell>
          <cell r="Y213">
            <v>0</v>
          </cell>
          <cell r="Z213">
            <v>-8.440110832452774E-10</v>
          </cell>
          <cell r="AA213">
            <v>1.862645149230957E-9</v>
          </cell>
          <cell r="AB213">
            <v>1.862645149230957E-9</v>
          </cell>
          <cell r="AC213">
            <v>0</v>
          </cell>
          <cell r="AD213">
            <v>-3.7252902984619141E-9</v>
          </cell>
          <cell r="AE213">
            <v>-3.7252902984619141E-9</v>
          </cell>
          <cell r="AF213">
            <v>-3.7252902984619141E-9</v>
          </cell>
          <cell r="AG213">
            <v>-3.7252902984619141E-9</v>
          </cell>
          <cell r="AH213">
            <v>0</v>
          </cell>
          <cell r="AI213">
            <v>-3.7252902984619141E-9</v>
          </cell>
          <cell r="AJ213">
            <v>-3.7252902984619141E-9</v>
          </cell>
          <cell r="AK213">
            <v>3.7252902984619141E-9</v>
          </cell>
          <cell r="AL213">
            <v>0</v>
          </cell>
          <cell r="AM213">
            <v>0</v>
          </cell>
          <cell r="AN213">
            <v>7.4505805969238281E-9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7.4505805969238281E-9</v>
          </cell>
          <cell r="AW213">
            <v>0</v>
          </cell>
          <cell r="AX213">
            <v>0</v>
          </cell>
        </row>
        <row r="426"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437699.95854919381</v>
          </cell>
          <cell r="S426">
            <v>525239.95025903266</v>
          </cell>
          <cell r="T426">
            <v>612779.94196887128</v>
          </cell>
          <cell r="U426">
            <v>700319.93367871013</v>
          </cell>
          <cell r="V426">
            <v>787859.92538854887</v>
          </cell>
          <cell r="W426">
            <v>831629.9212434683</v>
          </cell>
          <cell r="X426">
            <v>831629.9212434683</v>
          </cell>
          <cell r="Y426">
            <v>831629.9212434683</v>
          </cell>
          <cell r="Z426">
            <v>875399.91709838761</v>
          </cell>
          <cell r="AA426">
            <v>875399.91709838761</v>
          </cell>
          <cell r="AB426">
            <v>875399.91709838761</v>
          </cell>
          <cell r="AC426">
            <v>875399.91709838761</v>
          </cell>
          <cell r="AD426">
            <v>875399.91709838761</v>
          </cell>
          <cell r="AE426">
            <v>875399.91709838761</v>
          </cell>
          <cell r="AF426">
            <v>875399.91709838761</v>
          </cell>
          <cell r="AG426">
            <v>875399.91709838761</v>
          </cell>
          <cell r="AH426">
            <v>875399.91709838761</v>
          </cell>
          <cell r="AI426">
            <v>875399.91709838761</v>
          </cell>
          <cell r="AJ426">
            <v>875399.91709838761</v>
          </cell>
          <cell r="AK426">
            <v>875399.91709838761</v>
          </cell>
          <cell r="AL426">
            <v>875399.91709838761</v>
          </cell>
          <cell r="AM426">
            <v>875399.91709838761</v>
          </cell>
          <cell r="AN426">
            <v>875399.91709838761</v>
          </cell>
          <cell r="AO426">
            <v>875399.91709838761</v>
          </cell>
          <cell r="AP426">
            <v>875399.91709838761</v>
          </cell>
          <cell r="AQ426">
            <v>875399.91709838761</v>
          </cell>
          <cell r="AR426">
            <v>875399.91709838761</v>
          </cell>
          <cell r="AS426">
            <v>875399.91709838761</v>
          </cell>
          <cell r="AT426">
            <v>875399.91709838761</v>
          </cell>
          <cell r="AU426">
            <v>875399.91709838761</v>
          </cell>
          <cell r="AV426">
            <v>875399.91709838761</v>
          </cell>
          <cell r="AW426">
            <v>875399.91709838761</v>
          </cell>
          <cell r="AX426">
            <v>875399.91709838761</v>
          </cell>
        </row>
        <row r="427"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32439.814814814821</v>
          </cell>
          <cell r="R427">
            <v>934963.07773957937</v>
          </cell>
          <cell r="S427">
            <v>721897.3617153184</v>
          </cell>
          <cell r="T427">
            <v>1174120.1454990748</v>
          </cell>
          <cell r="U427">
            <v>1034109.0023833511</v>
          </cell>
          <cell r="V427">
            <v>437603.87778614589</v>
          </cell>
          <cell r="W427">
            <v>1010672.0750446126</v>
          </cell>
          <cell r="X427">
            <v>1460746.1495381913</v>
          </cell>
          <cell r="Y427">
            <v>1053145.4135487739</v>
          </cell>
          <cell r="Z427">
            <v>385341.65187828749</v>
          </cell>
          <cell r="AA427">
            <v>1016058.2863136625</v>
          </cell>
          <cell r="AB427">
            <v>1536388.5688427635</v>
          </cell>
          <cell r="AC427">
            <v>1105159.4021760973</v>
          </cell>
          <cell r="AD427">
            <v>307888.56884276413</v>
          </cell>
          <cell r="AE427">
            <v>1014451.0688427642</v>
          </cell>
          <cell r="AF427">
            <v>1536388.5688427635</v>
          </cell>
          <cell r="AG427">
            <v>1105159.4021760973</v>
          </cell>
          <cell r="AH427">
            <v>307888.56884276413</v>
          </cell>
          <cell r="AI427">
            <v>1014451.0688427642</v>
          </cell>
          <cell r="AJ427">
            <v>1536388.5688427635</v>
          </cell>
          <cell r="AK427">
            <v>1105159.4021760973</v>
          </cell>
          <cell r="AL427">
            <v>307888.56884276413</v>
          </cell>
          <cell r="AM427">
            <v>1014451.0688427642</v>
          </cell>
          <cell r="AN427">
            <v>1536388.5688427635</v>
          </cell>
          <cell r="AO427">
            <v>1105159.4021760973</v>
          </cell>
          <cell r="AP427">
            <v>307888.56884276413</v>
          </cell>
          <cell r="AQ427">
            <v>1014451.0688427642</v>
          </cell>
          <cell r="AR427">
            <v>1536388.5688427635</v>
          </cell>
          <cell r="AS427">
            <v>1105159.4021760973</v>
          </cell>
          <cell r="AT427">
            <v>307888.56884276413</v>
          </cell>
          <cell r="AU427">
            <v>1014451.0688427642</v>
          </cell>
          <cell r="AV427">
            <v>1536388.5688427635</v>
          </cell>
          <cell r="AW427">
            <v>1105159.4021760973</v>
          </cell>
          <cell r="AX427">
            <v>275805.23550943076</v>
          </cell>
        </row>
        <row r="428"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437699.95854919381</v>
          </cell>
          <cell r="S428">
            <v>525239.95025903266</v>
          </cell>
          <cell r="T428">
            <v>612779.94196887128</v>
          </cell>
          <cell r="U428">
            <v>700319.93367871013</v>
          </cell>
          <cell r="V428">
            <v>787859.92538854887</v>
          </cell>
          <cell r="W428">
            <v>831629.9212434683</v>
          </cell>
          <cell r="X428">
            <v>831629.9212434683</v>
          </cell>
          <cell r="Y428">
            <v>831629.9212434683</v>
          </cell>
          <cell r="Z428">
            <v>875399.91709838761</v>
          </cell>
          <cell r="AA428">
            <v>875399.91709838761</v>
          </cell>
          <cell r="AB428">
            <v>875399.91709838761</v>
          </cell>
          <cell r="AC428">
            <v>875399.91709838761</v>
          </cell>
          <cell r="AD428">
            <v>875399.91709838761</v>
          </cell>
          <cell r="AE428">
            <v>875399.91709838761</v>
          </cell>
          <cell r="AF428">
            <v>875399.91709838761</v>
          </cell>
          <cell r="AG428">
            <v>875399.91709838761</v>
          </cell>
          <cell r="AH428">
            <v>875399.91709838761</v>
          </cell>
          <cell r="AI428">
            <v>875399.91709838761</v>
          </cell>
          <cell r="AJ428">
            <v>875399.91709838761</v>
          </cell>
          <cell r="AK428">
            <v>875399.91709838761</v>
          </cell>
          <cell r="AL428">
            <v>875399.91709838761</v>
          </cell>
          <cell r="AM428">
            <v>875399.91709838761</v>
          </cell>
          <cell r="AN428">
            <v>875399.91709838761</v>
          </cell>
          <cell r="AO428">
            <v>875399.91709838761</v>
          </cell>
          <cell r="AP428">
            <v>875399.91709838761</v>
          </cell>
          <cell r="AQ428">
            <v>875399.91709838761</v>
          </cell>
          <cell r="AR428">
            <v>875399.91709838761</v>
          </cell>
          <cell r="AS428">
            <v>875399.91709838761</v>
          </cell>
          <cell r="AT428">
            <v>875399.91709838761</v>
          </cell>
          <cell r="AU428">
            <v>875399.91709838761</v>
          </cell>
          <cell r="AV428">
            <v>875399.91709838761</v>
          </cell>
          <cell r="AW428">
            <v>875399.91709838761</v>
          </cell>
          <cell r="AX428">
            <v>875399.91709838761</v>
          </cell>
        </row>
        <row r="429"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32439.814814814821</v>
          </cell>
          <cell r="R429">
            <v>934963.07773957937</v>
          </cell>
          <cell r="S429">
            <v>721897.3617153184</v>
          </cell>
          <cell r="T429">
            <v>1174120.1454990748</v>
          </cell>
          <cell r="U429">
            <v>1034109.0023833511</v>
          </cell>
          <cell r="V429">
            <v>437603.87778614589</v>
          </cell>
          <cell r="W429">
            <v>1010672.0750446126</v>
          </cell>
          <cell r="X429">
            <v>1460746.1495381913</v>
          </cell>
          <cell r="Y429">
            <v>1053145.4135487739</v>
          </cell>
          <cell r="Z429">
            <v>385341.65187828749</v>
          </cell>
          <cell r="AA429">
            <v>1016058.2863136625</v>
          </cell>
          <cell r="AB429">
            <v>1536388.5688427635</v>
          </cell>
          <cell r="AC429">
            <v>1105159.4021760973</v>
          </cell>
          <cell r="AD429">
            <v>307888.56884276413</v>
          </cell>
          <cell r="AE429">
            <v>1014451.0688427642</v>
          </cell>
          <cell r="AF429">
            <v>1536388.5688427635</v>
          </cell>
          <cell r="AG429">
            <v>1105159.4021760973</v>
          </cell>
          <cell r="AH429">
            <v>307888.56884276413</v>
          </cell>
          <cell r="AI429">
            <v>1014451.0688427642</v>
          </cell>
          <cell r="AJ429">
            <v>1536388.5688427635</v>
          </cell>
          <cell r="AK429">
            <v>1105159.4021760973</v>
          </cell>
          <cell r="AL429">
            <v>307888.56884276413</v>
          </cell>
          <cell r="AM429">
            <v>1014451.0688427642</v>
          </cell>
          <cell r="AN429">
            <v>1536388.5688427635</v>
          </cell>
          <cell r="AO429">
            <v>1105159.4021760973</v>
          </cell>
          <cell r="AP429">
            <v>307888.56884276413</v>
          </cell>
          <cell r="AQ429">
            <v>1014451.0688427642</v>
          </cell>
          <cell r="AR429">
            <v>1536388.5688427635</v>
          </cell>
          <cell r="AS429">
            <v>1105159.4021760973</v>
          </cell>
          <cell r="AT429">
            <v>307888.56884276413</v>
          </cell>
          <cell r="AU429">
            <v>1014451.0688427642</v>
          </cell>
          <cell r="AV429">
            <v>1536388.5688427635</v>
          </cell>
          <cell r="AW429">
            <v>1105159.4021760973</v>
          </cell>
          <cell r="AX429">
            <v>275805.23550943076</v>
          </cell>
        </row>
        <row r="430"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112655.11728668513</v>
          </cell>
          <cell r="S430">
            <v>80317.015996191927</v>
          </cell>
          <cell r="T430">
            <v>128624.2145039629</v>
          </cell>
          <cell r="U430">
            <v>127581.41301173386</v>
          </cell>
          <cell r="V430">
            <v>54088.611519504833</v>
          </cell>
          <cell r="W430">
            <v>115280.29829860732</v>
          </cell>
          <cell r="X430">
            <v>159668.3858238243</v>
          </cell>
          <cell r="Y430">
            <v>132237.13582382427</v>
          </cell>
          <cell r="Z430">
            <v>48740.147552492796</v>
          </cell>
          <cell r="AA430">
            <v>115571.9850777098</v>
          </cell>
          <cell r="AB430">
            <v>168071.98507770977</v>
          </cell>
          <cell r="AC430">
            <v>139196.98507770977</v>
          </cell>
          <cell r="AD430">
            <v>39446.985077709774</v>
          </cell>
          <cell r="AE430">
            <v>115571.9850777098</v>
          </cell>
          <cell r="AF430">
            <v>168071.98507770977</v>
          </cell>
          <cell r="AG430">
            <v>139196.98507770977</v>
          </cell>
          <cell r="AH430">
            <v>39446.985077709774</v>
          </cell>
          <cell r="AI430">
            <v>115571.9850777098</v>
          </cell>
          <cell r="AJ430">
            <v>168071.98507770977</v>
          </cell>
          <cell r="AK430">
            <v>139196.98507770977</v>
          </cell>
          <cell r="AL430">
            <v>39446.985077709774</v>
          </cell>
          <cell r="AM430">
            <v>115571.9850777098</v>
          </cell>
          <cell r="AN430">
            <v>168071.98507770977</v>
          </cell>
          <cell r="AO430">
            <v>139196.98507770977</v>
          </cell>
          <cell r="AP430">
            <v>39446.985077709774</v>
          </cell>
          <cell r="AQ430">
            <v>115571.9850777098</v>
          </cell>
          <cell r="AR430">
            <v>168071.98507770977</v>
          </cell>
          <cell r="AS430">
            <v>139196.98507770977</v>
          </cell>
          <cell r="AT430">
            <v>39446.985077709774</v>
          </cell>
          <cell r="AU430">
            <v>115571.9850777098</v>
          </cell>
          <cell r="AV430">
            <v>168071.98507770977</v>
          </cell>
          <cell r="AW430">
            <v>139196.98507770977</v>
          </cell>
          <cell r="AX430">
            <v>39446.985077709774</v>
          </cell>
        </row>
        <row r="431"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</row>
        <row r="432"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402928.56709838763</v>
          </cell>
          <cell r="S432">
            <v>483514.28051806521</v>
          </cell>
          <cell r="T432">
            <v>931599.99393774266</v>
          </cell>
          <cell r="U432">
            <v>1169685.7073574204</v>
          </cell>
          <cell r="V432">
            <v>725271.42077709781</v>
          </cell>
          <cell r="W432">
            <v>765564.27748693654</v>
          </cell>
          <cell r="X432">
            <v>1264314.2774869367</v>
          </cell>
          <cell r="Y432">
            <v>1389001.7774869367</v>
          </cell>
          <cell r="Z432">
            <v>805857.13419677527</v>
          </cell>
          <cell r="AA432">
            <v>805857.13419677527</v>
          </cell>
          <cell r="AB432">
            <v>1330857.1341967753</v>
          </cell>
          <cell r="AC432">
            <v>1462107.1341967753</v>
          </cell>
          <cell r="AD432">
            <v>805857.13419677527</v>
          </cell>
          <cell r="AE432">
            <v>805857.13419677527</v>
          </cell>
          <cell r="AF432">
            <v>1330857.1341967753</v>
          </cell>
          <cell r="AG432">
            <v>1462107.1341967753</v>
          </cell>
          <cell r="AH432">
            <v>805857.13419677527</v>
          </cell>
          <cell r="AI432">
            <v>805857.13419677527</v>
          </cell>
          <cell r="AJ432">
            <v>1330857.1341967753</v>
          </cell>
          <cell r="AK432">
            <v>1462107.1341967753</v>
          </cell>
          <cell r="AL432">
            <v>805857.13419677527</v>
          </cell>
          <cell r="AM432">
            <v>805857.13419677527</v>
          </cell>
          <cell r="AN432">
            <v>1330857.1341967753</v>
          </cell>
          <cell r="AO432">
            <v>1462107.1341967753</v>
          </cell>
          <cell r="AP432">
            <v>805857.13419677527</v>
          </cell>
          <cell r="AQ432">
            <v>805857.13419677527</v>
          </cell>
          <cell r="AR432">
            <v>1330857.1341967753</v>
          </cell>
          <cell r="AS432">
            <v>1462107.1341967753</v>
          </cell>
          <cell r="AT432">
            <v>805857.13419677527</v>
          </cell>
          <cell r="AU432">
            <v>805857.13419677527</v>
          </cell>
          <cell r="AV432">
            <v>1330857.1341967753</v>
          </cell>
          <cell r="AW432">
            <v>1462107.1341967753</v>
          </cell>
          <cell r="AX432">
            <v>805857.13419677527</v>
          </cell>
        </row>
        <row r="433"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4863.3328727688195</v>
          </cell>
          <cell r="S433">
            <v>5835.9994473225843</v>
          </cell>
          <cell r="T433">
            <v>6808.6660218763491</v>
          </cell>
          <cell r="U433">
            <v>7781.332596430113</v>
          </cell>
          <cell r="V433">
            <v>8753.999170983876</v>
          </cell>
          <cell r="W433">
            <v>9240.3324582607584</v>
          </cell>
          <cell r="X433">
            <v>9240.3324582607584</v>
          </cell>
          <cell r="Y433">
            <v>9240.3324582607584</v>
          </cell>
          <cell r="Z433">
            <v>9726.6657455376389</v>
          </cell>
          <cell r="AA433">
            <v>9726.6657455376389</v>
          </cell>
          <cell r="AB433">
            <v>9726.6657455376389</v>
          </cell>
          <cell r="AC433">
            <v>9726.6657455376389</v>
          </cell>
          <cell r="AD433">
            <v>9726.6657455376389</v>
          </cell>
          <cell r="AE433">
            <v>9726.6657455376389</v>
          </cell>
          <cell r="AF433">
            <v>9726.6657455376389</v>
          </cell>
          <cell r="AG433">
            <v>9726.6657455376389</v>
          </cell>
          <cell r="AH433">
            <v>9726.6657455376389</v>
          </cell>
          <cell r="AI433">
            <v>9726.6657455376389</v>
          </cell>
          <cell r="AJ433">
            <v>9726.6657455376389</v>
          </cell>
          <cell r="AK433">
            <v>9726.6657455376389</v>
          </cell>
          <cell r="AL433">
            <v>9726.6657455376389</v>
          </cell>
          <cell r="AM433">
            <v>9726.6657455376389</v>
          </cell>
          <cell r="AN433">
            <v>9726.6657455376389</v>
          </cell>
          <cell r="AO433">
            <v>9726.6657455376389</v>
          </cell>
          <cell r="AP433">
            <v>9726.6657455376389</v>
          </cell>
          <cell r="AQ433">
            <v>9726.6657455376389</v>
          </cell>
          <cell r="AR433">
            <v>9726.6657455376389</v>
          </cell>
          <cell r="AS433">
            <v>9726.6657455376389</v>
          </cell>
          <cell r="AT433">
            <v>9726.6657455376389</v>
          </cell>
          <cell r="AU433">
            <v>9726.6657455376389</v>
          </cell>
          <cell r="AV433">
            <v>9726.6657455376389</v>
          </cell>
          <cell r="AW433">
            <v>9726.6657455376389</v>
          </cell>
          <cell r="AX433">
            <v>9726.6657455376389</v>
          </cell>
        </row>
        <row r="434"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16295.830109381743</v>
          </cell>
          <cell r="S434">
            <v>19554.996131258093</v>
          </cell>
          <cell r="T434">
            <v>22814.162153134439</v>
          </cell>
          <cell r="U434">
            <v>26073.328175010785</v>
          </cell>
          <cell r="V434">
            <v>29332.494196887135</v>
          </cell>
          <cell r="W434">
            <v>30962.07720782531</v>
          </cell>
          <cell r="X434">
            <v>30962.07720782531</v>
          </cell>
          <cell r="Y434">
            <v>30962.07720782531</v>
          </cell>
          <cell r="Z434">
            <v>32591.660218763485</v>
          </cell>
          <cell r="AA434">
            <v>32591.660218763485</v>
          </cell>
          <cell r="AB434">
            <v>32591.660218763485</v>
          </cell>
          <cell r="AC434">
            <v>32591.660218763485</v>
          </cell>
          <cell r="AD434">
            <v>32591.660218763485</v>
          </cell>
          <cell r="AE434">
            <v>32591.660218763485</v>
          </cell>
          <cell r="AF434">
            <v>32591.660218763485</v>
          </cell>
          <cell r="AG434">
            <v>32591.660218763485</v>
          </cell>
          <cell r="AH434">
            <v>32591.660218763485</v>
          </cell>
          <cell r="AI434">
            <v>32591.660218763485</v>
          </cell>
          <cell r="AJ434">
            <v>32591.660218763485</v>
          </cell>
          <cell r="AK434">
            <v>32591.660218763485</v>
          </cell>
          <cell r="AL434">
            <v>32591.660218763485</v>
          </cell>
          <cell r="AM434">
            <v>32591.660218763485</v>
          </cell>
          <cell r="AN434">
            <v>32591.660218763485</v>
          </cell>
          <cell r="AO434">
            <v>32591.660218763485</v>
          </cell>
          <cell r="AP434">
            <v>32591.660218763485</v>
          </cell>
          <cell r="AQ434">
            <v>32591.660218763485</v>
          </cell>
          <cell r="AR434">
            <v>32591.660218763485</v>
          </cell>
          <cell r="AS434">
            <v>32591.660218763485</v>
          </cell>
          <cell r="AT434">
            <v>32591.660218763485</v>
          </cell>
          <cell r="AU434">
            <v>32591.660218763485</v>
          </cell>
          <cell r="AV434">
            <v>32591.660218763485</v>
          </cell>
          <cell r="AW434">
            <v>32591.660218763485</v>
          </cell>
          <cell r="AX434">
            <v>32591.660218763485</v>
          </cell>
        </row>
        <row r="435"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29569.542991652801</v>
          </cell>
          <cell r="S435">
            <v>23713.360214333268</v>
          </cell>
          <cell r="T435">
            <v>27273.250537533801</v>
          </cell>
          <cell r="U435">
            <v>37716.47419406769</v>
          </cell>
          <cell r="V435">
            <v>27509.697850601555</v>
          </cell>
          <cell r="W435">
            <v>34995.967207970156</v>
          </cell>
          <cell r="X435">
            <v>33818.95807040514</v>
          </cell>
          <cell r="Y435">
            <v>41992.916403738476</v>
          </cell>
          <cell r="Z435">
            <v>28601.954036237086</v>
          </cell>
          <cell r="AA435">
            <v>35598.903232005418</v>
          </cell>
          <cell r="AB435">
            <v>35598.903232005418</v>
          </cell>
          <cell r="AC435">
            <v>44203.069898672082</v>
          </cell>
          <cell r="AD435">
            <v>26994.736565338746</v>
          </cell>
          <cell r="AE435">
            <v>35598.903232005418</v>
          </cell>
          <cell r="AF435">
            <v>35598.903232005418</v>
          </cell>
          <cell r="AG435">
            <v>44203.069898672082</v>
          </cell>
          <cell r="AH435">
            <v>26994.736565338746</v>
          </cell>
          <cell r="AI435">
            <v>35598.903232005418</v>
          </cell>
          <cell r="AJ435">
            <v>35598.903232005418</v>
          </cell>
          <cell r="AK435">
            <v>44203.069898672082</v>
          </cell>
          <cell r="AL435">
            <v>26994.736565338746</v>
          </cell>
          <cell r="AM435">
            <v>35598.903232005418</v>
          </cell>
          <cell r="AN435">
            <v>35598.903232005418</v>
          </cell>
          <cell r="AO435">
            <v>44203.069898672082</v>
          </cell>
          <cell r="AP435">
            <v>26994.736565338746</v>
          </cell>
          <cell r="AQ435">
            <v>35598.903232005418</v>
          </cell>
          <cell r="AR435">
            <v>35598.903232005418</v>
          </cell>
          <cell r="AS435">
            <v>44203.069898672082</v>
          </cell>
          <cell r="AT435">
            <v>26994.736565338746</v>
          </cell>
          <cell r="AU435">
            <v>35598.903232005418</v>
          </cell>
          <cell r="AV435">
            <v>35598.903232005418</v>
          </cell>
          <cell r="AW435">
            <v>44203.069898672082</v>
          </cell>
          <cell r="AX435">
            <v>26994.736565338746</v>
          </cell>
        </row>
        <row r="436"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32439.814814814821</v>
          </cell>
          <cell r="S436">
            <v>22529.629629629631</v>
          </cell>
          <cell r="T436">
            <v>48196.296296296307</v>
          </cell>
          <cell r="U436">
            <v>32154.629629629624</v>
          </cell>
          <cell r="V436">
            <v>6487.9629629629599</v>
          </cell>
          <cell r="W436">
            <v>32118.981481481489</v>
          </cell>
          <cell r="X436">
            <v>60958.333333333336</v>
          </cell>
          <cell r="Y436">
            <v>30479.166666666668</v>
          </cell>
          <cell r="Z436">
            <v>3243.981481481484</v>
          </cell>
          <cell r="AA436">
            <v>32083.333333333339</v>
          </cell>
          <cell r="AB436">
            <v>64166.666666666657</v>
          </cell>
          <cell r="AC436">
            <v>32083.333333333328</v>
          </cell>
          <cell r="AD436">
            <v>0</v>
          </cell>
          <cell r="AE436">
            <v>32083.333333333339</v>
          </cell>
          <cell r="AF436">
            <v>64166.666666666657</v>
          </cell>
          <cell r="AG436">
            <v>32083.333333333328</v>
          </cell>
          <cell r="AH436">
            <v>0</v>
          </cell>
          <cell r="AI436">
            <v>32083.333333333339</v>
          </cell>
          <cell r="AJ436">
            <v>64166.666666666657</v>
          </cell>
          <cell r="AK436">
            <v>32083.333333333328</v>
          </cell>
          <cell r="AL436">
            <v>0</v>
          </cell>
          <cell r="AM436">
            <v>32083.333333333339</v>
          </cell>
          <cell r="AN436">
            <v>64166.666666666657</v>
          </cell>
          <cell r="AO436">
            <v>32083.333333333328</v>
          </cell>
          <cell r="AP436">
            <v>0</v>
          </cell>
          <cell r="AQ436">
            <v>32083.333333333339</v>
          </cell>
          <cell r="AR436">
            <v>64166.666666666657</v>
          </cell>
          <cell r="AS436">
            <v>32083.333333333328</v>
          </cell>
          <cell r="AT436">
            <v>0</v>
          </cell>
          <cell r="AU436">
            <v>32083.333333333339</v>
          </cell>
          <cell r="AV436">
            <v>64166.666666666657</v>
          </cell>
          <cell r="AW436">
            <v>32083.333333333328</v>
          </cell>
          <cell r="AX436">
            <v>0</v>
          </cell>
        </row>
        <row r="437"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-2.3283064365386963E-10</v>
          </cell>
          <cell r="S437">
            <v>2.5465851649641991E-11</v>
          </cell>
          <cell r="T437">
            <v>-3.2741809263825417E-10</v>
          </cell>
          <cell r="U437">
            <v>1.8189894035458565E-11</v>
          </cell>
          <cell r="V437">
            <v>6.0754246078431606E-10</v>
          </cell>
          <cell r="W437">
            <v>1.3096723705530167E-10</v>
          </cell>
          <cell r="X437">
            <v>-6.9849193096160889E-10</v>
          </cell>
          <cell r="Y437">
            <v>0</v>
          </cell>
          <cell r="Z437">
            <v>9.4223651103675365E-10</v>
          </cell>
          <cell r="AA437">
            <v>-3.4924596548080444E-10</v>
          </cell>
          <cell r="AB437">
            <v>1.5133991837501526E-9</v>
          </cell>
          <cell r="AC437">
            <v>1.862645149230957E-9</v>
          </cell>
          <cell r="AD437">
            <v>-1.1641532182693481E-9</v>
          </cell>
          <cell r="AE437">
            <v>-1.280568540096283E-9</v>
          </cell>
          <cell r="AF437">
            <v>2.4447217583656311E-9</v>
          </cell>
          <cell r="AG437">
            <v>1.862645149230957E-9</v>
          </cell>
          <cell r="AH437">
            <v>-1.1641532182693481E-9</v>
          </cell>
          <cell r="AI437">
            <v>-1.280568540096283E-9</v>
          </cell>
          <cell r="AJ437">
            <v>-1.280568540096283E-9</v>
          </cell>
          <cell r="AK437">
            <v>3.7252902984619141E-9</v>
          </cell>
          <cell r="AL437">
            <v>-1.1641532182693481E-9</v>
          </cell>
          <cell r="AM437">
            <v>-1.280568540096283E-9</v>
          </cell>
          <cell r="AN437">
            <v>2.4447217583656311E-9</v>
          </cell>
          <cell r="AO437">
            <v>0</v>
          </cell>
          <cell r="AP437">
            <v>-1.1641532182693481E-9</v>
          </cell>
          <cell r="AQ437">
            <v>-1.280568540096283E-9</v>
          </cell>
          <cell r="AR437">
            <v>-1.280568540096283E-9</v>
          </cell>
          <cell r="AS437">
            <v>3.7252902984619141E-9</v>
          </cell>
          <cell r="AT437">
            <v>-1.1641532182693481E-9</v>
          </cell>
          <cell r="AU437">
            <v>-1.280568540096283E-9</v>
          </cell>
          <cell r="AV437">
            <v>2.4447217583656311E-9</v>
          </cell>
          <cell r="AW437">
            <v>0</v>
          </cell>
          <cell r="AX437">
            <v>1.280568540096283E-9</v>
          </cell>
        </row>
      </sheetData>
      <sheetData sheetId="3">
        <row r="194">
          <cell r="B194">
            <v>-1554014.1317236524</v>
          </cell>
        </row>
        <row r="196">
          <cell r="B196">
            <v>4.2707545605696673E-2</v>
          </cell>
        </row>
        <row r="205">
          <cell r="B205" t="str">
            <v>-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8">
          <cell r="B8" t="str">
            <v>7.0</v>
          </cell>
        </row>
        <row r="15">
          <cell r="B15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Старт"/>
      <sheetName val="Проект"/>
      <sheetName val="Результаты"/>
      <sheetName val="Графики"/>
      <sheetName val="Сценарии"/>
      <sheetName val="Отчет"/>
      <sheetName val="Сравнение"/>
      <sheetName val="МБ"/>
      <sheetName val="1_Пр-во"/>
      <sheetName val="2_Эфф"/>
      <sheetName val="Бюдж эфф"/>
      <sheetName val="3_Кап"/>
      <sheetName val="4_Транши"/>
      <sheetName val="Language"/>
      <sheetName val="Options"/>
    </sheetNames>
    <sheetDataSet>
      <sheetData sheetId="0">
        <row r="4">
          <cell r="A4" t="str">
            <v>Завод по переработке пшеницы</v>
          </cell>
        </row>
        <row r="8">
          <cell r="D8">
            <v>1</v>
          </cell>
        </row>
        <row r="9">
          <cell r="D9">
            <v>0</v>
          </cell>
        </row>
        <row r="10">
          <cell r="D10">
            <v>5</v>
          </cell>
        </row>
        <row r="16">
          <cell r="B16">
            <v>43191</v>
          </cell>
        </row>
        <row r="17">
          <cell r="D17">
            <v>44</v>
          </cell>
        </row>
        <row r="18">
          <cell r="D18">
            <v>10</v>
          </cell>
        </row>
        <row r="19">
          <cell r="D19">
            <v>2</v>
          </cell>
        </row>
        <row r="21">
          <cell r="D21">
            <v>3</v>
          </cell>
        </row>
        <row r="22">
          <cell r="B22">
            <v>2018</v>
          </cell>
        </row>
        <row r="23">
          <cell r="B23">
            <v>4</v>
          </cell>
        </row>
        <row r="40">
          <cell r="B40">
            <v>1</v>
          </cell>
        </row>
        <row r="42">
          <cell r="B42" t="str">
            <v>тыс. руб.</v>
          </cell>
        </row>
        <row r="52">
          <cell r="B52" t="str">
            <v>EUR</v>
          </cell>
        </row>
        <row r="58">
          <cell r="B58" t="str">
            <v>$</v>
          </cell>
        </row>
        <row r="64">
          <cell r="B64">
            <v>1</v>
          </cell>
        </row>
        <row r="74">
          <cell r="B74">
            <v>2</v>
          </cell>
        </row>
      </sheetData>
      <sheetData sheetId="1" refreshError="1"/>
      <sheetData sheetId="2">
        <row r="188">
          <cell r="G188">
            <v>0</v>
          </cell>
        </row>
        <row r="206"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821522.76304734068</v>
          </cell>
          <cell r="S206">
            <v>985827.31565680867</v>
          </cell>
          <cell r="T206">
            <v>1150131.8682662768</v>
          </cell>
          <cell r="U206">
            <v>1314436.4208757449</v>
          </cell>
          <cell r="V206">
            <v>1478740.973485213</v>
          </cell>
          <cell r="W206">
            <v>1560893.2497899472</v>
          </cell>
          <cell r="X206">
            <v>1560893.2497899472</v>
          </cell>
          <cell r="Y206">
            <v>1560893.2497899472</v>
          </cell>
          <cell r="Z206">
            <v>1643045.5260946814</v>
          </cell>
          <cell r="AA206">
            <v>1643045.5260946814</v>
          </cell>
          <cell r="AB206">
            <v>1643045.5260946814</v>
          </cell>
          <cell r="AC206">
            <v>1643045.5260946814</v>
          </cell>
          <cell r="AD206">
            <v>1643045.5260946814</v>
          </cell>
          <cell r="AE206">
            <v>1643045.5260946814</v>
          </cell>
          <cell r="AF206">
            <v>1643045.5260946814</v>
          </cell>
          <cell r="AG206">
            <v>1643045.5260946814</v>
          </cell>
          <cell r="AH206">
            <v>1643045.5260946814</v>
          </cell>
          <cell r="AI206">
            <v>1643045.5260946814</v>
          </cell>
          <cell r="AJ206">
            <v>1643045.5260946814</v>
          </cell>
          <cell r="AK206">
            <v>1643045.5260946814</v>
          </cell>
          <cell r="AL206">
            <v>1643045.5260946814</v>
          </cell>
          <cell r="AM206">
            <v>1643045.5260946814</v>
          </cell>
          <cell r="AN206">
            <v>1643045.5260946814</v>
          </cell>
          <cell r="AO206">
            <v>1643045.5260946814</v>
          </cell>
          <cell r="AP206">
            <v>1643045.5260946814</v>
          </cell>
          <cell r="AQ206">
            <v>1643045.5260946814</v>
          </cell>
          <cell r="AR206">
            <v>1643045.5260946814</v>
          </cell>
          <cell r="AS206">
            <v>1643045.5260946814</v>
          </cell>
          <cell r="AT206">
            <v>1643045.5260946814</v>
          </cell>
          <cell r="AU206">
            <v>1643045.5260946814</v>
          </cell>
          <cell r="AV206">
            <v>1643045.5260946814</v>
          </cell>
          <cell r="AW206">
            <v>1643045.5260946814</v>
          </cell>
          <cell r="AX206">
            <v>1643045.5260946814</v>
          </cell>
          <cell r="AY206"/>
        </row>
        <row r="207"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102877.7882699887</v>
          </cell>
          <cell r="S207">
            <v>123453.34592398643</v>
          </cell>
          <cell r="T207">
            <v>144028.90357798417</v>
          </cell>
          <cell r="U207">
            <v>164604.46123198193</v>
          </cell>
          <cell r="V207">
            <v>185180.01888597963</v>
          </cell>
          <cell r="W207">
            <v>195467.79771297853</v>
          </cell>
          <cell r="X207">
            <v>195467.79771297853</v>
          </cell>
          <cell r="Y207">
            <v>195467.79771297853</v>
          </cell>
          <cell r="Z207">
            <v>205755.5765399774</v>
          </cell>
          <cell r="AA207">
            <v>205755.5765399774</v>
          </cell>
          <cell r="AB207">
            <v>205755.5765399774</v>
          </cell>
          <cell r="AC207">
            <v>205755.5765399774</v>
          </cell>
          <cell r="AD207">
            <v>205755.5765399774</v>
          </cell>
          <cell r="AE207">
            <v>205755.5765399774</v>
          </cell>
          <cell r="AF207">
            <v>205755.5765399774</v>
          </cell>
          <cell r="AG207">
            <v>205755.5765399774</v>
          </cell>
          <cell r="AH207">
            <v>205755.5765399774</v>
          </cell>
          <cell r="AI207">
            <v>205755.5765399774</v>
          </cell>
          <cell r="AJ207">
            <v>205755.5765399774</v>
          </cell>
          <cell r="AK207">
            <v>205755.5765399774</v>
          </cell>
          <cell r="AL207">
            <v>205755.5765399774</v>
          </cell>
          <cell r="AM207">
            <v>205755.5765399774</v>
          </cell>
          <cell r="AN207">
            <v>205755.5765399774</v>
          </cell>
          <cell r="AO207">
            <v>205755.5765399774</v>
          </cell>
          <cell r="AP207">
            <v>205755.5765399774</v>
          </cell>
          <cell r="AQ207">
            <v>205755.5765399774</v>
          </cell>
          <cell r="AR207">
            <v>205755.5765399774</v>
          </cell>
          <cell r="AS207">
            <v>205755.5765399774</v>
          </cell>
          <cell r="AT207">
            <v>205755.5765399774</v>
          </cell>
          <cell r="AU207">
            <v>205755.5765399774</v>
          </cell>
          <cell r="AV207">
            <v>205755.5765399774</v>
          </cell>
          <cell r="AW207">
            <v>205755.5765399774</v>
          </cell>
          <cell r="AX207">
            <v>205755.5765399774</v>
          </cell>
          <cell r="AY207"/>
        </row>
        <row r="208"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821689.37894873705</v>
          </cell>
          <cell r="S208">
            <v>1088738.4271070764</v>
          </cell>
          <cell r="T208">
            <v>1273618.5373705423</v>
          </cell>
          <cell r="U208">
            <v>1458498.6476340084</v>
          </cell>
          <cell r="V208">
            <v>1643378.7578974743</v>
          </cell>
          <cell r="W208">
            <v>1746089.9302660665</v>
          </cell>
          <cell r="X208">
            <v>1756361.0475029256</v>
          </cell>
          <cell r="Y208">
            <v>1756361.0475029256</v>
          </cell>
          <cell r="Z208">
            <v>1838529.9853977992</v>
          </cell>
          <cell r="AA208">
            <v>1848801.1026346588</v>
          </cell>
          <cell r="AB208">
            <v>1848801.1026346588</v>
          </cell>
          <cell r="AC208">
            <v>1848801.1026346588</v>
          </cell>
          <cell r="AD208">
            <v>1848801.1026346588</v>
          </cell>
          <cell r="AE208">
            <v>1848801.1026346588</v>
          </cell>
          <cell r="AF208">
            <v>1848801.1026346588</v>
          </cell>
          <cell r="AG208">
            <v>1848801.1026346588</v>
          </cell>
          <cell r="AH208">
            <v>1848801.1026346588</v>
          </cell>
          <cell r="AI208">
            <v>1848801.1026346588</v>
          </cell>
          <cell r="AJ208">
            <v>1848801.1026346588</v>
          </cell>
          <cell r="AK208">
            <v>1848801.1026346588</v>
          </cell>
          <cell r="AL208">
            <v>1848801.1026346588</v>
          </cell>
          <cell r="AM208">
            <v>1848801.1026346588</v>
          </cell>
          <cell r="AN208">
            <v>1848801.1026346588</v>
          </cell>
          <cell r="AO208">
            <v>1848801.1026346588</v>
          </cell>
          <cell r="AP208">
            <v>1848801.1026346588</v>
          </cell>
          <cell r="AQ208">
            <v>1848801.1026346588</v>
          </cell>
          <cell r="AR208">
            <v>1848801.1026346588</v>
          </cell>
          <cell r="AS208">
            <v>1848801.1026346588</v>
          </cell>
          <cell r="AT208">
            <v>1848801.1026346588</v>
          </cell>
          <cell r="AU208">
            <v>1848801.1026346588</v>
          </cell>
          <cell r="AV208">
            <v>1848801.1026346588</v>
          </cell>
          <cell r="AW208">
            <v>1848801.1026346588</v>
          </cell>
          <cell r="AX208">
            <v>1848801.1026346588</v>
          </cell>
          <cell r="AY208"/>
        </row>
        <row r="209"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102711.17236859216</v>
          </cell>
          <cell r="S209">
            <v>123253.40684231056</v>
          </cell>
          <cell r="T209">
            <v>143795.64131602898</v>
          </cell>
          <cell r="U209">
            <v>164337.87578974743</v>
          </cell>
          <cell r="V209">
            <v>184880.11026346587</v>
          </cell>
          <cell r="W209">
            <v>195151.22750032507</v>
          </cell>
          <cell r="X209">
            <v>195151.22750032507</v>
          </cell>
          <cell r="Y209">
            <v>195151.22750032507</v>
          </cell>
          <cell r="Z209">
            <v>205422.34473718432</v>
          </cell>
          <cell r="AA209">
            <v>205422.34473718432</v>
          </cell>
          <cell r="AB209">
            <v>205422.34473718432</v>
          </cell>
          <cell r="AC209">
            <v>205422.34473718432</v>
          </cell>
          <cell r="AD209">
            <v>205422.34473718432</v>
          </cell>
          <cell r="AE209">
            <v>205422.34473718432</v>
          </cell>
          <cell r="AF209">
            <v>205422.34473718432</v>
          </cell>
          <cell r="AG209">
            <v>205422.34473718432</v>
          </cell>
          <cell r="AH209">
            <v>205422.34473718432</v>
          </cell>
          <cell r="AI209">
            <v>205422.34473718432</v>
          </cell>
          <cell r="AJ209">
            <v>205422.34473718432</v>
          </cell>
          <cell r="AK209">
            <v>205422.34473718432</v>
          </cell>
          <cell r="AL209">
            <v>205422.34473718432</v>
          </cell>
          <cell r="AM209">
            <v>205422.34473718432</v>
          </cell>
          <cell r="AN209">
            <v>205422.34473718432</v>
          </cell>
          <cell r="AO209">
            <v>205422.34473718432</v>
          </cell>
          <cell r="AP209">
            <v>205422.34473718432</v>
          </cell>
          <cell r="AQ209">
            <v>205422.34473718432</v>
          </cell>
          <cell r="AR209">
            <v>205422.34473718432</v>
          </cell>
          <cell r="AS209">
            <v>205422.34473718432</v>
          </cell>
          <cell r="AT209">
            <v>205422.34473718432</v>
          </cell>
          <cell r="AU209">
            <v>205422.34473718432</v>
          </cell>
          <cell r="AV209">
            <v>205422.34473718432</v>
          </cell>
          <cell r="AW209">
            <v>205422.34473718432</v>
          </cell>
          <cell r="AX209">
            <v>205422.34473718432</v>
          </cell>
          <cell r="AY209"/>
        </row>
        <row r="210"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/>
        </row>
        <row r="211"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/>
        </row>
        <row r="212"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/>
        </row>
        <row r="213"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-1.8917489796876907E-10</v>
          </cell>
          <cell r="S213">
            <v>-1.6007106751203537E-10</v>
          </cell>
          <cell r="T213">
            <v>-3.7834979593753815E-10</v>
          </cell>
          <cell r="U213">
            <v>5.8207660913467407E-10</v>
          </cell>
          <cell r="V213">
            <v>1.1641532182693481E-10</v>
          </cell>
          <cell r="W213">
            <v>2.9103830456733704E-11</v>
          </cell>
          <cell r="X213">
            <v>-1.862645149230957E-9</v>
          </cell>
          <cell r="Y213">
            <v>0</v>
          </cell>
          <cell r="Z213">
            <v>-8.440110832452774E-10</v>
          </cell>
          <cell r="AA213">
            <v>1.862645149230957E-9</v>
          </cell>
          <cell r="AB213">
            <v>1.862645149230957E-9</v>
          </cell>
          <cell r="AC213">
            <v>0</v>
          </cell>
          <cell r="AD213">
            <v>-3.7252902984619141E-9</v>
          </cell>
          <cell r="AE213">
            <v>-3.7252902984619141E-9</v>
          </cell>
          <cell r="AF213">
            <v>-3.7252902984619141E-9</v>
          </cell>
          <cell r="AG213">
            <v>-3.7252902984619141E-9</v>
          </cell>
          <cell r="AH213">
            <v>0</v>
          </cell>
          <cell r="AI213">
            <v>-3.7252902984619141E-9</v>
          </cell>
          <cell r="AJ213">
            <v>-3.7252902984619141E-9</v>
          </cell>
          <cell r="AK213">
            <v>3.7252902984619141E-9</v>
          </cell>
          <cell r="AL213">
            <v>0</v>
          </cell>
          <cell r="AM213">
            <v>0</v>
          </cell>
          <cell r="AN213">
            <v>7.4505805969238281E-9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7.4505805969238281E-9</v>
          </cell>
          <cell r="AW213">
            <v>0</v>
          </cell>
          <cell r="AX213">
            <v>0</v>
          </cell>
          <cell r="AY213"/>
        </row>
        <row r="426"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437699.95854919381</v>
          </cell>
          <cell r="S426">
            <v>525239.95025903266</v>
          </cell>
          <cell r="T426">
            <v>612779.94196887128</v>
          </cell>
          <cell r="U426">
            <v>700319.93367871013</v>
          </cell>
          <cell r="V426">
            <v>787859.92538854887</v>
          </cell>
          <cell r="W426">
            <v>831629.9212434683</v>
          </cell>
          <cell r="X426">
            <v>831629.9212434683</v>
          </cell>
          <cell r="Y426">
            <v>831629.9212434683</v>
          </cell>
          <cell r="Z426">
            <v>875399.91709838761</v>
          </cell>
          <cell r="AA426">
            <v>875399.91709838761</v>
          </cell>
          <cell r="AB426">
            <v>875399.91709838761</v>
          </cell>
          <cell r="AC426">
            <v>875399.91709838761</v>
          </cell>
          <cell r="AD426">
            <v>875399.91709838761</v>
          </cell>
          <cell r="AE426">
            <v>875399.91709838761</v>
          </cell>
          <cell r="AF426">
            <v>875399.91709838761</v>
          </cell>
          <cell r="AG426">
            <v>875399.91709838761</v>
          </cell>
          <cell r="AH426">
            <v>875399.91709838761</v>
          </cell>
          <cell r="AI426">
            <v>875399.91709838761</v>
          </cell>
          <cell r="AJ426">
            <v>875399.91709838761</v>
          </cell>
          <cell r="AK426">
            <v>875399.91709838761</v>
          </cell>
          <cell r="AL426">
            <v>875399.91709838761</v>
          </cell>
          <cell r="AM426">
            <v>875399.91709838761</v>
          </cell>
          <cell r="AN426">
            <v>875399.91709838761</v>
          </cell>
          <cell r="AO426">
            <v>875399.91709838761</v>
          </cell>
          <cell r="AP426">
            <v>875399.91709838761</v>
          </cell>
          <cell r="AQ426">
            <v>875399.91709838761</v>
          </cell>
          <cell r="AR426">
            <v>875399.91709838761</v>
          </cell>
          <cell r="AS426">
            <v>875399.91709838761</v>
          </cell>
          <cell r="AT426">
            <v>875399.91709838761</v>
          </cell>
          <cell r="AU426">
            <v>875399.91709838761</v>
          </cell>
          <cell r="AV426">
            <v>875399.91709838761</v>
          </cell>
          <cell r="AW426">
            <v>875399.91709838761</v>
          </cell>
          <cell r="AX426">
            <v>875399.91709838761</v>
          </cell>
          <cell r="AY426"/>
        </row>
        <row r="427"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32439.814814814821</v>
          </cell>
          <cell r="R427">
            <v>934963.07773957937</v>
          </cell>
          <cell r="S427">
            <v>721897.3617153184</v>
          </cell>
          <cell r="T427">
            <v>1174120.1454990748</v>
          </cell>
          <cell r="U427">
            <v>1034109.0023833511</v>
          </cell>
          <cell r="V427">
            <v>437603.87778614589</v>
          </cell>
          <cell r="W427">
            <v>1010672.0750446126</v>
          </cell>
          <cell r="X427">
            <v>1460746.1495381913</v>
          </cell>
          <cell r="Y427">
            <v>1053145.4135487739</v>
          </cell>
          <cell r="Z427">
            <v>385341.65187828749</v>
          </cell>
          <cell r="AA427">
            <v>1016058.2863136625</v>
          </cell>
          <cell r="AB427">
            <v>1536388.5688427635</v>
          </cell>
          <cell r="AC427">
            <v>1105159.4021760973</v>
          </cell>
          <cell r="AD427">
            <v>307888.56884276413</v>
          </cell>
          <cell r="AE427">
            <v>1014451.0688427642</v>
          </cell>
          <cell r="AF427">
            <v>1536388.5688427635</v>
          </cell>
          <cell r="AG427">
            <v>1105159.4021760973</v>
          </cell>
          <cell r="AH427">
            <v>307888.56884276413</v>
          </cell>
          <cell r="AI427">
            <v>1014451.0688427642</v>
          </cell>
          <cell r="AJ427">
            <v>1536388.5688427635</v>
          </cell>
          <cell r="AK427">
            <v>1105159.4021760973</v>
          </cell>
          <cell r="AL427">
            <v>307888.56884276413</v>
          </cell>
          <cell r="AM427">
            <v>1014451.0688427642</v>
          </cell>
          <cell r="AN427">
            <v>1536388.5688427635</v>
          </cell>
          <cell r="AO427">
            <v>1105159.4021760973</v>
          </cell>
          <cell r="AP427">
            <v>307888.56884276413</v>
          </cell>
          <cell r="AQ427">
            <v>1014451.0688427642</v>
          </cell>
          <cell r="AR427">
            <v>1536388.5688427635</v>
          </cell>
          <cell r="AS427">
            <v>1105159.4021760973</v>
          </cell>
          <cell r="AT427">
            <v>307888.56884276413</v>
          </cell>
          <cell r="AU427">
            <v>1014451.0688427642</v>
          </cell>
          <cell r="AV427">
            <v>1536388.5688427635</v>
          </cell>
          <cell r="AW427">
            <v>1105159.4021760973</v>
          </cell>
          <cell r="AX427">
            <v>275805.23550943076</v>
          </cell>
          <cell r="AY427"/>
        </row>
        <row r="428"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437699.95854919381</v>
          </cell>
          <cell r="S428">
            <v>525239.95025903266</v>
          </cell>
          <cell r="T428">
            <v>612779.94196887128</v>
          </cell>
          <cell r="U428">
            <v>700319.93367871013</v>
          </cell>
          <cell r="V428">
            <v>787859.92538854887</v>
          </cell>
          <cell r="W428">
            <v>831629.9212434683</v>
          </cell>
          <cell r="X428">
            <v>831629.9212434683</v>
          </cell>
          <cell r="Y428">
            <v>831629.9212434683</v>
          </cell>
          <cell r="Z428">
            <v>875399.91709838761</v>
          </cell>
          <cell r="AA428">
            <v>875399.91709838761</v>
          </cell>
          <cell r="AB428">
            <v>875399.91709838761</v>
          </cell>
          <cell r="AC428">
            <v>875399.91709838761</v>
          </cell>
          <cell r="AD428">
            <v>875399.91709838761</v>
          </cell>
          <cell r="AE428">
            <v>875399.91709838761</v>
          </cell>
          <cell r="AF428">
            <v>875399.91709838761</v>
          </cell>
          <cell r="AG428">
            <v>875399.91709838761</v>
          </cell>
          <cell r="AH428">
            <v>875399.91709838761</v>
          </cell>
          <cell r="AI428">
            <v>875399.91709838761</v>
          </cell>
          <cell r="AJ428">
            <v>875399.91709838761</v>
          </cell>
          <cell r="AK428">
            <v>875399.91709838761</v>
          </cell>
          <cell r="AL428">
            <v>875399.91709838761</v>
          </cell>
          <cell r="AM428">
            <v>875399.91709838761</v>
          </cell>
          <cell r="AN428">
            <v>875399.91709838761</v>
          </cell>
          <cell r="AO428">
            <v>875399.91709838761</v>
          </cell>
          <cell r="AP428">
            <v>875399.91709838761</v>
          </cell>
          <cell r="AQ428">
            <v>875399.91709838761</v>
          </cell>
          <cell r="AR428">
            <v>875399.91709838761</v>
          </cell>
          <cell r="AS428">
            <v>875399.91709838761</v>
          </cell>
          <cell r="AT428">
            <v>875399.91709838761</v>
          </cell>
          <cell r="AU428">
            <v>875399.91709838761</v>
          </cell>
          <cell r="AV428">
            <v>875399.91709838761</v>
          </cell>
          <cell r="AW428">
            <v>875399.91709838761</v>
          </cell>
          <cell r="AX428">
            <v>875399.91709838761</v>
          </cell>
          <cell r="AY428"/>
        </row>
        <row r="429"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32439.814814814821</v>
          </cell>
          <cell r="R429">
            <v>934963.07773957937</v>
          </cell>
          <cell r="S429">
            <v>721897.3617153184</v>
          </cell>
          <cell r="T429">
            <v>1174120.1454990748</v>
          </cell>
          <cell r="U429">
            <v>1034109.0023833511</v>
          </cell>
          <cell r="V429">
            <v>437603.87778614589</v>
          </cell>
          <cell r="W429">
            <v>1010672.0750446126</v>
          </cell>
          <cell r="X429">
            <v>1460746.1495381913</v>
          </cell>
          <cell r="Y429">
            <v>1053145.4135487739</v>
          </cell>
          <cell r="Z429">
            <v>385341.65187828749</v>
          </cell>
          <cell r="AA429">
            <v>1016058.2863136625</v>
          </cell>
          <cell r="AB429">
            <v>1536388.5688427635</v>
          </cell>
          <cell r="AC429">
            <v>1105159.4021760973</v>
          </cell>
          <cell r="AD429">
            <v>307888.56884276413</v>
          </cell>
          <cell r="AE429">
            <v>1014451.0688427642</v>
          </cell>
          <cell r="AF429">
            <v>1536388.5688427635</v>
          </cell>
          <cell r="AG429">
            <v>1105159.4021760973</v>
          </cell>
          <cell r="AH429">
            <v>307888.56884276413</v>
          </cell>
          <cell r="AI429">
            <v>1014451.0688427642</v>
          </cell>
          <cell r="AJ429">
            <v>1536388.5688427635</v>
          </cell>
          <cell r="AK429">
            <v>1105159.4021760973</v>
          </cell>
          <cell r="AL429">
            <v>307888.56884276413</v>
          </cell>
          <cell r="AM429">
            <v>1014451.0688427642</v>
          </cell>
          <cell r="AN429">
            <v>1536388.5688427635</v>
          </cell>
          <cell r="AO429">
            <v>1105159.4021760973</v>
          </cell>
          <cell r="AP429">
            <v>307888.56884276413</v>
          </cell>
          <cell r="AQ429">
            <v>1014451.0688427642</v>
          </cell>
          <cell r="AR429">
            <v>1536388.5688427635</v>
          </cell>
          <cell r="AS429">
            <v>1105159.4021760973</v>
          </cell>
          <cell r="AT429">
            <v>307888.56884276413</v>
          </cell>
          <cell r="AU429">
            <v>1014451.0688427642</v>
          </cell>
          <cell r="AV429">
            <v>1536388.5688427635</v>
          </cell>
          <cell r="AW429">
            <v>1105159.4021760973</v>
          </cell>
          <cell r="AX429">
            <v>275805.23550943076</v>
          </cell>
          <cell r="AY429"/>
        </row>
        <row r="430"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112655.11728668513</v>
          </cell>
          <cell r="S430">
            <v>80317.015996191927</v>
          </cell>
          <cell r="T430">
            <v>128624.2145039629</v>
          </cell>
          <cell r="U430">
            <v>127581.41301173386</v>
          </cell>
          <cell r="V430">
            <v>54088.611519504833</v>
          </cell>
          <cell r="W430">
            <v>115280.29829860732</v>
          </cell>
          <cell r="X430">
            <v>159668.3858238243</v>
          </cell>
          <cell r="Y430">
            <v>132237.13582382427</v>
          </cell>
          <cell r="Z430">
            <v>48740.147552492796</v>
          </cell>
          <cell r="AA430">
            <v>115571.9850777098</v>
          </cell>
          <cell r="AB430">
            <v>168071.98507770977</v>
          </cell>
          <cell r="AC430">
            <v>139196.98507770977</v>
          </cell>
          <cell r="AD430">
            <v>39446.985077709774</v>
          </cell>
          <cell r="AE430">
            <v>115571.9850777098</v>
          </cell>
          <cell r="AF430">
            <v>168071.98507770977</v>
          </cell>
          <cell r="AG430">
            <v>139196.98507770977</v>
          </cell>
          <cell r="AH430">
            <v>39446.985077709774</v>
          </cell>
          <cell r="AI430">
            <v>115571.9850777098</v>
          </cell>
          <cell r="AJ430">
            <v>168071.98507770977</v>
          </cell>
          <cell r="AK430">
            <v>139196.98507770977</v>
          </cell>
          <cell r="AL430">
            <v>39446.985077709774</v>
          </cell>
          <cell r="AM430">
            <v>115571.9850777098</v>
          </cell>
          <cell r="AN430">
            <v>168071.98507770977</v>
          </cell>
          <cell r="AO430">
            <v>139196.98507770977</v>
          </cell>
          <cell r="AP430">
            <v>39446.985077709774</v>
          </cell>
          <cell r="AQ430">
            <v>115571.9850777098</v>
          </cell>
          <cell r="AR430">
            <v>168071.98507770977</v>
          </cell>
          <cell r="AS430">
            <v>139196.98507770977</v>
          </cell>
          <cell r="AT430">
            <v>39446.985077709774</v>
          </cell>
          <cell r="AU430">
            <v>115571.9850777098</v>
          </cell>
          <cell r="AV430">
            <v>168071.98507770977</v>
          </cell>
          <cell r="AW430">
            <v>139196.98507770977</v>
          </cell>
          <cell r="AX430">
            <v>39446.985077709774</v>
          </cell>
          <cell r="AY430"/>
        </row>
        <row r="431"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/>
        </row>
        <row r="432"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402928.56709838763</v>
          </cell>
          <cell r="S432">
            <v>483514.28051806521</v>
          </cell>
          <cell r="T432">
            <v>931599.99393774266</v>
          </cell>
          <cell r="U432">
            <v>1169685.7073574204</v>
          </cell>
          <cell r="V432">
            <v>725271.42077709781</v>
          </cell>
          <cell r="W432">
            <v>765564.27748693654</v>
          </cell>
          <cell r="X432">
            <v>1264314.2774869367</v>
          </cell>
          <cell r="Y432">
            <v>1389001.7774869367</v>
          </cell>
          <cell r="Z432">
            <v>805857.13419677527</v>
          </cell>
          <cell r="AA432">
            <v>805857.13419677527</v>
          </cell>
          <cell r="AB432">
            <v>1330857.1341967753</v>
          </cell>
          <cell r="AC432">
            <v>1462107.1341967753</v>
          </cell>
          <cell r="AD432">
            <v>805857.13419677527</v>
          </cell>
          <cell r="AE432">
            <v>805857.13419677527</v>
          </cell>
          <cell r="AF432">
            <v>1330857.1341967753</v>
          </cell>
          <cell r="AG432">
            <v>1462107.1341967753</v>
          </cell>
          <cell r="AH432">
            <v>805857.13419677527</v>
          </cell>
          <cell r="AI432">
            <v>805857.13419677527</v>
          </cell>
          <cell r="AJ432">
            <v>1330857.1341967753</v>
          </cell>
          <cell r="AK432">
            <v>1462107.1341967753</v>
          </cell>
          <cell r="AL432">
            <v>805857.13419677527</v>
          </cell>
          <cell r="AM432">
            <v>805857.13419677527</v>
          </cell>
          <cell r="AN432">
            <v>1330857.1341967753</v>
          </cell>
          <cell r="AO432">
            <v>1462107.1341967753</v>
          </cell>
          <cell r="AP432">
            <v>805857.13419677527</v>
          </cell>
          <cell r="AQ432">
            <v>805857.13419677527</v>
          </cell>
          <cell r="AR432">
            <v>1330857.1341967753</v>
          </cell>
          <cell r="AS432">
            <v>1462107.1341967753</v>
          </cell>
          <cell r="AT432">
            <v>805857.13419677527</v>
          </cell>
          <cell r="AU432">
            <v>805857.13419677527</v>
          </cell>
          <cell r="AV432">
            <v>1330857.1341967753</v>
          </cell>
          <cell r="AW432">
            <v>1462107.1341967753</v>
          </cell>
          <cell r="AX432">
            <v>805857.13419677527</v>
          </cell>
          <cell r="AY432"/>
        </row>
        <row r="433"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4863.3328727688195</v>
          </cell>
          <cell r="S433">
            <v>5835.9994473225843</v>
          </cell>
          <cell r="T433">
            <v>6808.6660218763491</v>
          </cell>
          <cell r="U433">
            <v>7781.332596430113</v>
          </cell>
          <cell r="V433">
            <v>8753.999170983876</v>
          </cell>
          <cell r="W433">
            <v>9240.3324582607584</v>
          </cell>
          <cell r="X433">
            <v>9240.3324582607584</v>
          </cell>
          <cell r="Y433">
            <v>9240.3324582607584</v>
          </cell>
          <cell r="Z433">
            <v>9726.6657455376389</v>
          </cell>
          <cell r="AA433">
            <v>9726.6657455376389</v>
          </cell>
          <cell r="AB433">
            <v>9726.6657455376389</v>
          </cell>
          <cell r="AC433">
            <v>9726.6657455376389</v>
          </cell>
          <cell r="AD433">
            <v>9726.6657455376389</v>
          </cell>
          <cell r="AE433">
            <v>9726.6657455376389</v>
          </cell>
          <cell r="AF433">
            <v>9726.6657455376389</v>
          </cell>
          <cell r="AG433">
            <v>9726.6657455376389</v>
          </cell>
          <cell r="AH433">
            <v>9726.6657455376389</v>
          </cell>
          <cell r="AI433">
            <v>9726.6657455376389</v>
          </cell>
          <cell r="AJ433">
            <v>9726.6657455376389</v>
          </cell>
          <cell r="AK433">
            <v>9726.6657455376389</v>
          </cell>
          <cell r="AL433">
            <v>9726.6657455376389</v>
          </cell>
          <cell r="AM433">
            <v>9726.6657455376389</v>
          </cell>
          <cell r="AN433">
            <v>9726.6657455376389</v>
          </cell>
          <cell r="AO433">
            <v>9726.6657455376389</v>
          </cell>
          <cell r="AP433">
            <v>9726.6657455376389</v>
          </cell>
          <cell r="AQ433">
            <v>9726.6657455376389</v>
          </cell>
          <cell r="AR433">
            <v>9726.6657455376389</v>
          </cell>
          <cell r="AS433">
            <v>9726.6657455376389</v>
          </cell>
          <cell r="AT433">
            <v>9726.6657455376389</v>
          </cell>
          <cell r="AU433">
            <v>9726.6657455376389</v>
          </cell>
          <cell r="AV433">
            <v>9726.6657455376389</v>
          </cell>
          <cell r="AW433">
            <v>9726.6657455376389</v>
          </cell>
          <cell r="AX433">
            <v>9726.6657455376389</v>
          </cell>
          <cell r="AY433"/>
        </row>
        <row r="434"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16295.830109381743</v>
          </cell>
          <cell r="S434">
            <v>19554.996131258093</v>
          </cell>
          <cell r="T434">
            <v>22814.162153134439</v>
          </cell>
          <cell r="U434">
            <v>26073.328175010785</v>
          </cell>
          <cell r="V434">
            <v>29332.494196887135</v>
          </cell>
          <cell r="W434">
            <v>30962.07720782531</v>
          </cell>
          <cell r="X434">
            <v>30962.07720782531</v>
          </cell>
          <cell r="Y434">
            <v>30962.07720782531</v>
          </cell>
          <cell r="Z434">
            <v>32591.660218763485</v>
          </cell>
          <cell r="AA434">
            <v>32591.660218763485</v>
          </cell>
          <cell r="AB434">
            <v>32591.660218763485</v>
          </cell>
          <cell r="AC434">
            <v>32591.660218763485</v>
          </cell>
          <cell r="AD434">
            <v>32591.660218763485</v>
          </cell>
          <cell r="AE434">
            <v>32591.660218763485</v>
          </cell>
          <cell r="AF434">
            <v>32591.660218763485</v>
          </cell>
          <cell r="AG434">
            <v>32591.660218763485</v>
          </cell>
          <cell r="AH434">
            <v>32591.660218763485</v>
          </cell>
          <cell r="AI434">
            <v>32591.660218763485</v>
          </cell>
          <cell r="AJ434">
            <v>32591.660218763485</v>
          </cell>
          <cell r="AK434">
            <v>32591.660218763485</v>
          </cell>
          <cell r="AL434">
            <v>32591.660218763485</v>
          </cell>
          <cell r="AM434">
            <v>32591.660218763485</v>
          </cell>
          <cell r="AN434">
            <v>32591.660218763485</v>
          </cell>
          <cell r="AO434">
            <v>32591.660218763485</v>
          </cell>
          <cell r="AP434">
            <v>32591.660218763485</v>
          </cell>
          <cell r="AQ434">
            <v>32591.660218763485</v>
          </cell>
          <cell r="AR434">
            <v>32591.660218763485</v>
          </cell>
          <cell r="AS434">
            <v>32591.660218763485</v>
          </cell>
          <cell r="AT434">
            <v>32591.660218763485</v>
          </cell>
          <cell r="AU434">
            <v>32591.660218763485</v>
          </cell>
          <cell r="AV434">
            <v>32591.660218763485</v>
          </cell>
          <cell r="AW434">
            <v>32591.660218763485</v>
          </cell>
          <cell r="AX434">
            <v>32591.660218763485</v>
          </cell>
          <cell r="AY434"/>
        </row>
        <row r="435"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29569.542991652801</v>
          </cell>
          <cell r="S435">
            <v>23713.360214333268</v>
          </cell>
          <cell r="T435">
            <v>27273.250537533801</v>
          </cell>
          <cell r="U435">
            <v>37716.47419406769</v>
          </cell>
          <cell r="V435">
            <v>27509.697850601555</v>
          </cell>
          <cell r="W435">
            <v>34995.967207970156</v>
          </cell>
          <cell r="X435">
            <v>33818.95807040514</v>
          </cell>
          <cell r="Y435">
            <v>41992.916403738476</v>
          </cell>
          <cell r="Z435">
            <v>28601.954036237086</v>
          </cell>
          <cell r="AA435">
            <v>35598.903232005418</v>
          </cell>
          <cell r="AB435">
            <v>35598.903232005418</v>
          </cell>
          <cell r="AC435">
            <v>44203.069898672082</v>
          </cell>
          <cell r="AD435">
            <v>26994.736565338746</v>
          </cell>
          <cell r="AE435">
            <v>35598.903232005418</v>
          </cell>
          <cell r="AF435">
            <v>35598.903232005418</v>
          </cell>
          <cell r="AG435">
            <v>44203.069898672082</v>
          </cell>
          <cell r="AH435">
            <v>26994.736565338746</v>
          </cell>
          <cell r="AI435">
            <v>35598.903232005418</v>
          </cell>
          <cell r="AJ435">
            <v>35598.903232005418</v>
          </cell>
          <cell r="AK435">
            <v>44203.069898672082</v>
          </cell>
          <cell r="AL435">
            <v>26994.736565338746</v>
          </cell>
          <cell r="AM435">
            <v>35598.903232005418</v>
          </cell>
          <cell r="AN435">
            <v>35598.903232005418</v>
          </cell>
          <cell r="AO435">
            <v>44203.069898672082</v>
          </cell>
          <cell r="AP435">
            <v>26994.736565338746</v>
          </cell>
          <cell r="AQ435">
            <v>35598.903232005418</v>
          </cell>
          <cell r="AR435">
            <v>35598.903232005418</v>
          </cell>
          <cell r="AS435">
            <v>44203.069898672082</v>
          </cell>
          <cell r="AT435">
            <v>26994.736565338746</v>
          </cell>
          <cell r="AU435">
            <v>35598.903232005418</v>
          </cell>
          <cell r="AV435">
            <v>35598.903232005418</v>
          </cell>
          <cell r="AW435">
            <v>44203.069898672082</v>
          </cell>
          <cell r="AX435">
            <v>26994.736565338746</v>
          </cell>
          <cell r="AY435"/>
        </row>
        <row r="436"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32439.814814814821</v>
          </cell>
          <cell r="S436">
            <v>22529.629629629631</v>
          </cell>
          <cell r="T436">
            <v>48196.296296296307</v>
          </cell>
          <cell r="U436">
            <v>32154.629629629624</v>
          </cell>
          <cell r="V436">
            <v>6487.9629629629599</v>
          </cell>
          <cell r="W436">
            <v>32118.981481481489</v>
          </cell>
          <cell r="X436">
            <v>60958.333333333336</v>
          </cell>
          <cell r="Y436">
            <v>30479.166666666668</v>
          </cell>
          <cell r="Z436">
            <v>3243.981481481484</v>
          </cell>
          <cell r="AA436">
            <v>32083.333333333339</v>
          </cell>
          <cell r="AB436">
            <v>64166.666666666657</v>
          </cell>
          <cell r="AC436">
            <v>32083.333333333328</v>
          </cell>
          <cell r="AD436">
            <v>0</v>
          </cell>
          <cell r="AE436">
            <v>32083.333333333339</v>
          </cell>
          <cell r="AF436">
            <v>64166.666666666657</v>
          </cell>
          <cell r="AG436">
            <v>32083.333333333328</v>
          </cell>
          <cell r="AH436">
            <v>0</v>
          </cell>
          <cell r="AI436">
            <v>32083.333333333339</v>
          </cell>
          <cell r="AJ436">
            <v>64166.666666666657</v>
          </cell>
          <cell r="AK436">
            <v>32083.333333333328</v>
          </cell>
          <cell r="AL436">
            <v>0</v>
          </cell>
          <cell r="AM436">
            <v>32083.333333333339</v>
          </cell>
          <cell r="AN436">
            <v>64166.666666666657</v>
          </cell>
          <cell r="AO436">
            <v>32083.333333333328</v>
          </cell>
          <cell r="AP436">
            <v>0</v>
          </cell>
          <cell r="AQ436">
            <v>32083.333333333339</v>
          </cell>
          <cell r="AR436">
            <v>64166.666666666657</v>
          </cell>
          <cell r="AS436">
            <v>32083.333333333328</v>
          </cell>
          <cell r="AT436">
            <v>0</v>
          </cell>
          <cell r="AU436">
            <v>32083.333333333339</v>
          </cell>
          <cell r="AV436">
            <v>64166.666666666657</v>
          </cell>
          <cell r="AW436">
            <v>32083.333333333328</v>
          </cell>
          <cell r="AX436">
            <v>0</v>
          </cell>
          <cell r="AY436"/>
        </row>
        <row r="437"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-2.3283064365386963E-10</v>
          </cell>
          <cell r="S437">
            <v>2.5465851649641991E-11</v>
          </cell>
          <cell r="T437">
            <v>-3.2741809263825417E-10</v>
          </cell>
          <cell r="U437">
            <v>1.8189894035458565E-11</v>
          </cell>
          <cell r="V437">
            <v>6.0754246078431606E-10</v>
          </cell>
          <cell r="W437">
            <v>1.3096723705530167E-10</v>
          </cell>
          <cell r="X437">
            <v>-6.9849193096160889E-10</v>
          </cell>
          <cell r="Y437">
            <v>0</v>
          </cell>
          <cell r="Z437">
            <v>9.4223651103675365E-10</v>
          </cell>
          <cell r="AA437">
            <v>-3.4924596548080444E-10</v>
          </cell>
          <cell r="AB437">
            <v>1.5133991837501526E-9</v>
          </cell>
          <cell r="AC437">
            <v>1.862645149230957E-9</v>
          </cell>
          <cell r="AD437">
            <v>-1.1641532182693481E-9</v>
          </cell>
          <cell r="AE437">
            <v>-1.280568540096283E-9</v>
          </cell>
          <cell r="AF437">
            <v>2.4447217583656311E-9</v>
          </cell>
          <cell r="AG437">
            <v>1.862645149230957E-9</v>
          </cell>
          <cell r="AH437">
            <v>-1.1641532182693481E-9</v>
          </cell>
          <cell r="AI437">
            <v>-1.280568540096283E-9</v>
          </cell>
          <cell r="AJ437">
            <v>-1.280568540096283E-9</v>
          </cell>
          <cell r="AK437">
            <v>3.7252902984619141E-9</v>
          </cell>
          <cell r="AL437">
            <v>-1.1641532182693481E-9</v>
          </cell>
          <cell r="AM437">
            <v>-1.280568540096283E-9</v>
          </cell>
          <cell r="AN437">
            <v>2.4447217583656311E-9</v>
          </cell>
          <cell r="AO437">
            <v>0</v>
          </cell>
          <cell r="AP437">
            <v>-1.1641532182693481E-9</v>
          </cell>
          <cell r="AQ437">
            <v>-1.280568540096283E-9</v>
          </cell>
          <cell r="AR437">
            <v>-1.280568540096283E-9</v>
          </cell>
          <cell r="AS437">
            <v>3.7252902984619141E-9</v>
          </cell>
          <cell r="AT437">
            <v>-1.1641532182693481E-9</v>
          </cell>
          <cell r="AU437">
            <v>-1.280568540096283E-9</v>
          </cell>
          <cell r="AV437">
            <v>2.4447217583656311E-9</v>
          </cell>
          <cell r="AW437">
            <v>0</v>
          </cell>
          <cell r="AX437">
            <v>1.280568540096283E-9</v>
          </cell>
          <cell r="AY437"/>
        </row>
      </sheetData>
      <sheetData sheetId="3">
        <row r="194">
          <cell r="B194">
            <v>-1554014.1317236524</v>
          </cell>
        </row>
        <row r="196">
          <cell r="B196">
            <v>4.2707545605696673E-2</v>
          </cell>
        </row>
        <row r="205">
          <cell r="B205" t="str">
            <v>-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8">
          <cell r="B8" t="str">
            <v>7.0</v>
          </cell>
        </row>
        <row r="15">
          <cell r="B15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Старт"/>
      <sheetName val="Проект"/>
      <sheetName val="Результаты"/>
      <sheetName val="Графики"/>
      <sheetName val="Сценарии"/>
      <sheetName val="Отчет"/>
      <sheetName val="Сравнение"/>
      <sheetName val="МБ"/>
      <sheetName val="1_Пр-во"/>
      <sheetName val="2_Эфф"/>
      <sheetName val="Бюдж эфф"/>
      <sheetName val="3_Кап"/>
      <sheetName val="4_Транши"/>
      <sheetName val="Language"/>
      <sheetName val="Options"/>
    </sheetNames>
    <sheetDataSet>
      <sheetData sheetId="0">
        <row r="4">
          <cell r="A4" t="str">
            <v>Завод по переработке пшеницы</v>
          </cell>
        </row>
        <row r="8">
          <cell r="D8">
            <v>1</v>
          </cell>
        </row>
        <row r="9">
          <cell r="D9">
            <v>0</v>
          </cell>
        </row>
        <row r="10">
          <cell r="D10">
            <v>5</v>
          </cell>
        </row>
        <row r="16">
          <cell r="B16">
            <v>43191</v>
          </cell>
        </row>
        <row r="17">
          <cell r="D17">
            <v>44</v>
          </cell>
        </row>
        <row r="18">
          <cell r="D18">
            <v>10</v>
          </cell>
        </row>
        <row r="19">
          <cell r="D19">
            <v>2</v>
          </cell>
        </row>
        <row r="21">
          <cell r="D21">
            <v>3</v>
          </cell>
        </row>
        <row r="22">
          <cell r="B22">
            <v>2018</v>
          </cell>
        </row>
        <row r="23">
          <cell r="B23">
            <v>4</v>
          </cell>
        </row>
        <row r="40">
          <cell r="B40">
            <v>0</v>
          </cell>
        </row>
        <row r="42">
          <cell r="B42" t="str">
            <v>тыс. руб.</v>
          </cell>
        </row>
        <row r="52">
          <cell r="B52" t="str">
            <v>EUR</v>
          </cell>
        </row>
        <row r="58">
          <cell r="B58" t="str">
            <v>$</v>
          </cell>
        </row>
        <row r="64">
          <cell r="B64">
            <v>1</v>
          </cell>
        </row>
        <row r="74">
          <cell r="B74">
            <v>2</v>
          </cell>
        </row>
      </sheetData>
      <sheetData sheetId="1"/>
      <sheetData sheetId="2">
        <row r="188">
          <cell r="G188">
            <v>0</v>
          </cell>
        </row>
        <row r="206"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821522.76304734068</v>
          </cell>
          <cell r="S206">
            <v>985827.31565680867</v>
          </cell>
          <cell r="T206">
            <v>1150131.8682662768</v>
          </cell>
          <cell r="U206">
            <v>1314436.4208757449</v>
          </cell>
          <cell r="V206">
            <v>1478740.973485213</v>
          </cell>
          <cell r="W206">
            <v>1560893.2497899472</v>
          </cell>
          <cell r="X206">
            <v>1560893.2497899472</v>
          </cell>
          <cell r="Y206">
            <v>1560893.2497899472</v>
          </cell>
          <cell r="Z206">
            <v>1643045.5260946814</v>
          </cell>
          <cell r="AA206">
            <v>1643045.5260946814</v>
          </cell>
          <cell r="AB206">
            <v>1643045.5260946814</v>
          </cell>
          <cell r="AC206">
            <v>1643045.5260946814</v>
          </cell>
          <cell r="AD206">
            <v>1643045.5260946814</v>
          </cell>
          <cell r="AE206">
            <v>1643045.5260946814</v>
          </cell>
          <cell r="AF206">
            <v>1643045.5260946814</v>
          </cell>
          <cell r="AG206">
            <v>1643045.5260946814</v>
          </cell>
          <cell r="AH206">
            <v>1643045.5260946814</v>
          </cell>
          <cell r="AI206">
            <v>1643045.5260946814</v>
          </cell>
          <cell r="AJ206">
            <v>1643045.5260946814</v>
          </cell>
          <cell r="AK206">
            <v>1643045.5260946814</v>
          </cell>
          <cell r="AL206">
            <v>1643045.5260946814</v>
          </cell>
          <cell r="AM206">
            <v>1643045.5260946814</v>
          </cell>
          <cell r="AN206">
            <v>1643045.5260946814</v>
          </cell>
          <cell r="AO206">
            <v>1643045.5260946814</v>
          </cell>
          <cell r="AP206">
            <v>1643045.5260946814</v>
          </cell>
          <cell r="AQ206">
            <v>1643045.5260946814</v>
          </cell>
          <cell r="AR206">
            <v>1643045.5260946814</v>
          </cell>
          <cell r="AS206">
            <v>1643045.5260946814</v>
          </cell>
          <cell r="AT206">
            <v>1643045.5260946814</v>
          </cell>
          <cell r="AU206">
            <v>1643045.5260946814</v>
          </cell>
          <cell r="AV206">
            <v>1643045.5260946814</v>
          </cell>
          <cell r="AW206">
            <v>1643045.5260946814</v>
          </cell>
          <cell r="AX206">
            <v>1643045.5260946814</v>
          </cell>
          <cell r="AY206"/>
        </row>
        <row r="207"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102877.7882699887</v>
          </cell>
          <cell r="S207">
            <v>123453.34592398643</v>
          </cell>
          <cell r="T207">
            <v>144028.90357798417</v>
          </cell>
          <cell r="U207">
            <v>164604.46123198193</v>
          </cell>
          <cell r="V207">
            <v>185180.01888597963</v>
          </cell>
          <cell r="W207">
            <v>195467.79771297853</v>
          </cell>
          <cell r="X207">
            <v>195467.79771297853</v>
          </cell>
          <cell r="Y207">
            <v>195467.79771297853</v>
          </cell>
          <cell r="Z207">
            <v>205755.5765399774</v>
          </cell>
          <cell r="AA207">
            <v>205755.5765399774</v>
          </cell>
          <cell r="AB207">
            <v>205755.5765399774</v>
          </cell>
          <cell r="AC207">
            <v>205755.5765399774</v>
          </cell>
          <cell r="AD207">
            <v>205755.5765399774</v>
          </cell>
          <cell r="AE207">
            <v>205755.5765399774</v>
          </cell>
          <cell r="AF207">
            <v>205755.5765399774</v>
          </cell>
          <cell r="AG207">
            <v>205755.5765399774</v>
          </cell>
          <cell r="AH207">
            <v>205755.5765399774</v>
          </cell>
          <cell r="AI207">
            <v>205755.5765399774</v>
          </cell>
          <cell r="AJ207">
            <v>205755.5765399774</v>
          </cell>
          <cell r="AK207">
            <v>205755.5765399774</v>
          </cell>
          <cell r="AL207">
            <v>205755.5765399774</v>
          </cell>
          <cell r="AM207">
            <v>205755.5765399774</v>
          </cell>
          <cell r="AN207">
            <v>205755.5765399774</v>
          </cell>
          <cell r="AO207">
            <v>205755.5765399774</v>
          </cell>
          <cell r="AP207">
            <v>205755.5765399774</v>
          </cell>
          <cell r="AQ207">
            <v>205755.5765399774</v>
          </cell>
          <cell r="AR207">
            <v>205755.5765399774</v>
          </cell>
          <cell r="AS207">
            <v>205755.5765399774</v>
          </cell>
          <cell r="AT207">
            <v>205755.5765399774</v>
          </cell>
          <cell r="AU207">
            <v>205755.5765399774</v>
          </cell>
          <cell r="AV207">
            <v>205755.5765399774</v>
          </cell>
          <cell r="AW207">
            <v>205755.5765399774</v>
          </cell>
          <cell r="AX207">
            <v>205755.5765399774</v>
          </cell>
          <cell r="AY207"/>
        </row>
        <row r="208"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821689.37894873705</v>
          </cell>
          <cell r="S208">
            <v>1088738.4271070764</v>
          </cell>
          <cell r="T208">
            <v>1273618.5373705423</v>
          </cell>
          <cell r="U208">
            <v>1458498.6476340084</v>
          </cell>
          <cell r="V208">
            <v>1643378.7578974743</v>
          </cell>
          <cell r="W208">
            <v>1746089.9302660665</v>
          </cell>
          <cell r="X208">
            <v>1756361.0475029256</v>
          </cell>
          <cell r="Y208">
            <v>1756361.0475029256</v>
          </cell>
          <cell r="Z208">
            <v>1838529.9853977992</v>
          </cell>
          <cell r="AA208">
            <v>1848801.1026346588</v>
          </cell>
          <cell r="AB208">
            <v>1848801.1026346588</v>
          </cell>
          <cell r="AC208">
            <v>1848801.1026346588</v>
          </cell>
          <cell r="AD208">
            <v>1848801.1026346588</v>
          </cell>
          <cell r="AE208">
            <v>1848801.1026346588</v>
          </cell>
          <cell r="AF208">
            <v>1848801.1026346588</v>
          </cell>
          <cell r="AG208">
            <v>1848801.1026346588</v>
          </cell>
          <cell r="AH208">
            <v>1848801.1026346588</v>
          </cell>
          <cell r="AI208">
            <v>1848801.1026346588</v>
          </cell>
          <cell r="AJ208">
            <v>1848801.1026346588</v>
          </cell>
          <cell r="AK208">
            <v>1848801.1026346588</v>
          </cell>
          <cell r="AL208">
            <v>1848801.1026346588</v>
          </cell>
          <cell r="AM208">
            <v>1848801.1026346588</v>
          </cell>
          <cell r="AN208">
            <v>1848801.1026346588</v>
          </cell>
          <cell r="AO208">
            <v>1848801.1026346588</v>
          </cell>
          <cell r="AP208">
            <v>1848801.1026346588</v>
          </cell>
          <cell r="AQ208">
            <v>1848801.1026346588</v>
          </cell>
          <cell r="AR208">
            <v>1848801.1026346588</v>
          </cell>
          <cell r="AS208">
            <v>1848801.1026346588</v>
          </cell>
          <cell r="AT208">
            <v>1848801.1026346588</v>
          </cell>
          <cell r="AU208">
            <v>1848801.1026346588</v>
          </cell>
          <cell r="AV208">
            <v>1848801.1026346588</v>
          </cell>
          <cell r="AW208">
            <v>1848801.1026346588</v>
          </cell>
          <cell r="AX208">
            <v>1848801.1026346588</v>
          </cell>
          <cell r="AY208"/>
        </row>
        <row r="209"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102711.17236859216</v>
          </cell>
          <cell r="S209">
            <v>123253.40684231056</v>
          </cell>
          <cell r="T209">
            <v>143795.64131602898</v>
          </cell>
          <cell r="U209">
            <v>164337.87578974743</v>
          </cell>
          <cell r="V209">
            <v>184880.11026346587</v>
          </cell>
          <cell r="W209">
            <v>195151.22750032507</v>
          </cell>
          <cell r="X209">
            <v>195151.22750032507</v>
          </cell>
          <cell r="Y209">
            <v>195151.22750032507</v>
          </cell>
          <cell r="Z209">
            <v>205422.34473718432</v>
          </cell>
          <cell r="AA209">
            <v>205422.34473718432</v>
          </cell>
          <cell r="AB209">
            <v>205422.34473718432</v>
          </cell>
          <cell r="AC209">
            <v>205422.34473718432</v>
          </cell>
          <cell r="AD209">
            <v>205422.34473718432</v>
          </cell>
          <cell r="AE209">
            <v>205422.34473718432</v>
          </cell>
          <cell r="AF209">
            <v>205422.34473718432</v>
          </cell>
          <cell r="AG209">
            <v>205422.34473718432</v>
          </cell>
          <cell r="AH209">
            <v>205422.34473718432</v>
          </cell>
          <cell r="AI209">
            <v>205422.34473718432</v>
          </cell>
          <cell r="AJ209">
            <v>205422.34473718432</v>
          </cell>
          <cell r="AK209">
            <v>205422.34473718432</v>
          </cell>
          <cell r="AL209">
            <v>205422.34473718432</v>
          </cell>
          <cell r="AM209">
            <v>205422.34473718432</v>
          </cell>
          <cell r="AN209">
            <v>205422.34473718432</v>
          </cell>
          <cell r="AO209">
            <v>205422.34473718432</v>
          </cell>
          <cell r="AP209">
            <v>205422.34473718432</v>
          </cell>
          <cell r="AQ209">
            <v>205422.34473718432</v>
          </cell>
          <cell r="AR209">
            <v>205422.34473718432</v>
          </cell>
          <cell r="AS209">
            <v>205422.34473718432</v>
          </cell>
          <cell r="AT209">
            <v>205422.34473718432</v>
          </cell>
          <cell r="AU209">
            <v>205422.34473718432</v>
          </cell>
          <cell r="AV209">
            <v>205422.34473718432</v>
          </cell>
          <cell r="AW209">
            <v>205422.34473718432</v>
          </cell>
          <cell r="AX209">
            <v>205422.34473718432</v>
          </cell>
          <cell r="AY209"/>
        </row>
        <row r="210"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/>
        </row>
        <row r="211"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/>
        </row>
        <row r="212"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/>
        </row>
        <row r="213"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-1.8917489796876907E-10</v>
          </cell>
          <cell r="S213">
            <v>-1.6007106751203537E-10</v>
          </cell>
          <cell r="T213">
            <v>-3.7834979593753815E-10</v>
          </cell>
          <cell r="U213">
            <v>5.8207660913467407E-10</v>
          </cell>
          <cell r="V213">
            <v>1.1641532182693481E-10</v>
          </cell>
          <cell r="W213">
            <v>2.9103830456733704E-11</v>
          </cell>
          <cell r="X213">
            <v>-1.862645149230957E-9</v>
          </cell>
          <cell r="Y213">
            <v>0</v>
          </cell>
          <cell r="Z213">
            <v>-8.440110832452774E-10</v>
          </cell>
          <cell r="AA213">
            <v>1.862645149230957E-9</v>
          </cell>
          <cell r="AB213">
            <v>1.862645149230957E-9</v>
          </cell>
          <cell r="AC213">
            <v>0</v>
          </cell>
          <cell r="AD213">
            <v>-3.7252902984619141E-9</v>
          </cell>
          <cell r="AE213">
            <v>-3.7252902984619141E-9</v>
          </cell>
          <cell r="AF213">
            <v>-3.7252902984619141E-9</v>
          </cell>
          <cell r="AG213">
            <v>-3.7252902984619141E-9</v>
          </cell>
          <cell r="AH213">
            <v>0</v>
          </cell>
          <cell r="AI213">
            <v>-3.7252902984619141E-9</v>
          </cell>
          <cell r="AJ213">
            <v>-3.7252902984619141E-9</v>
          </cell>
          <cell r="AK213">
            <v>3.7252902984619141E-9</v>
          </cell>
          <cell r="AL213">
            <v>0</v>
          </cell>
          <cell r="AM213">
            <v>0</v>
          </cell>
          <cell r="AN213">
            <v>7.4505805969238281E-9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7.4505805969238281E-9</v>
          </cell>
          <cell r="AW213">
            <v>0</v>
          </cell>
          <cell r="AX213">
            <v>0</v>
          </cell>
          <cell r="AY213"/>
        </row>
        <row r="426"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437699.95854919381</v>
          </cell>
          <cell r="S426">
            <v>525239.95025903266</v>
          </cell>
          <cell r="T426">
            <v>612779.94196887128</v>
          </cell>
          <cell r="U426">
            <v>700319.93367871013</v>
          </cell>
          <cell r="V426">
            <v>787859.92538854887</v>
          </cell>
          <cell r="W426">
            <v>831629.9212434683</v>
          </cell>
          <cell r="X426">
            <v>831629.9212434683</v>
          </cell>
          <cell r="Y426">
            <v>831629.9212434683</v>
          </cell>
          <cell r="Z426">
            <v>875399.91709838761</v>
          </cell>
          <cell r="AA426">
            <v>875399.91709838761</v>
          </cell>
          <cell r="AB426">
            <v>875399.91709838761</v>
          </cell>
          <cell r="AC426">
            <v>875399.91709838761</v>
          </cell>
          <cell r="AD426">
            <v>875399.91709838761</v>
          </cell>
          <cell r="AE426">
            <v>875399.91709838761</v>
          </cell>
          <cell r="AF426">
            <v>875399.91709838761</v>
          </cell>
          <cell r="AG426">
            <v>875399.91709838761</v>
          </cell>
          <cell r="AH426">
            <v>875399.91709838761</v>
          </cell>
          <cell r="AI426">
            <v>875399.91709838761</v>
          </cell>
          <cell r="AJ426">
            <v>875399.91709838761</v>
          </cell>
          <cell r="AK426">
            <v>875399.91709838761</v>
          </cell>
          <cell r="AL426">
            <v>875399.91709838761</v>
          </cell>
          <cell r="AM426">
            <v>875399.91709838761</v>
          </cell>
          <cell r="AN426">
            <v>875399.91709838761</v>
          </cell>
          <cell r="AO426">
            <v>875399.91709838761</v>
          </cell>
          <cell r="AP426">
            <v>875399.91709838761</v>
          </cell>
          <cell r="AQ426">
            <v>875399.91709838761</v>
          </cell>
          <cell r="AR426">
            <v>875399.91709838761</v>
          </cell>
          <cell r="AS426">
            <v>875399.91709838761</v>
          </cell>
          <cell r="AT426">
            <v>875399.91709838761</v>
          </cell>
          <cell r="AU426">
            <v>875399.91709838761</v>
          </cell>
          <cell r="AV426">
            <v>875399.91709838761</v>
          </cell>
          <cell r="AW426">
            <v>875399.91709838761</v>
          </cell>
          <cell r="AX426">
            <v>875399.91709838761</v>
          </cell>
          <cell r="AY426"/>
        </row>
        <row r="427"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32439.814814814821</v>
          </cell>
          <cell r="R427">
            <v>934963.07773957937</v>
          </cell>
          <cell r="S427">
            <v>721897.3617153184</v>
          </cell>
          <cell r="T427">
            <v>1174120.1454990748</v>
          </cell>
          <cell r="U427">
            <v>1034109.0023833511</v>
          </cell>
          <cell r="V427">
            <v>437603.87778614589</v>
          </cell>
          <cell r="W427">
            <v>1010672.0750446126</v>
          </cell>
          <cell r="X427">
            <v>1460746.1495381913</v>
          </cell>
          <cell r="Y427">
            <v>1053145.4135487739</v>
          </cell>
          <cell r="Z427">
            <v>385341.65187828749</v>
          </cell>
          <cell r="AA427">
            <v>1016058.2863136625</v>
          </cell>
          <cell r="AB427">
            <v>1536388.5688427635</v>
          </cell>
          <cell r="AC427">
            <v>1105159.4021760973</v>
          </cell>
          <cell r="AD427">
            <v>307888.56884276413</v>
          </cell>
          <cell r="AE427">
            <v>1014451.0688427642</v>
          </cell>
          <cell r="AF427">
            <v>1536388.5688427635</v>
          </cell>
          <cell r="AG427">
            <v>1105159.4021760973</v>
          </cell>
          <cell r="AH427">
            <v>307888.56884276413</v>
          </cell>
          <cell r="AI427">
            <v>1014451.0688427642</v>
          </cell>
          <cell r="AJ427">
            <v>1536388.5688427635</v>
          </cell>
          <cell r="AK427">
            <v>1105159.4021760973</v>
          </cell>
          <cell r="AL427">
            <v>307888.56884276413</v>
          </cell>
          <cell r="AM427">
            <v>1014451.0688427642</v>
          </cell>
          <cell r="AN427">
            <v>1536388.5688427635</v>
          </cell>
          <cell r="AO427">
            <v>1105159.4021760973</v>
          </cell>
          <cell r="AP427">
            <v>307888.56884276413</v>
          </cell>
          <cell r="AQ427">
            <v>1014451.0688427642</v>
          </cell>
          <cell r="AR427">
            <v>1536388.5688427635</v>
          </cell>
          <cell r="AS427">
            <v>1105159.4021760973</v>
          </cell>
          <cell r="AT427">
            <v>307888.56884276413</v>
          </cell>
          <cell r="AU427">
            <v>1014451.0688427642</v>
          </cell>
          <cell r="AV427">
            <v>1536388.5688427635</v>
          </cell>
          <cell r="AW427">
            <v>1105159.4021760973</v>
          </cell>
          <cell r="AX427">
            <v>275805.23550943076</v>
          </cell>
          <cell r="AY427"/>
        </row>
        <row r="428"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437699.95854919381</v>
          </cell>
          <cell r="S428">
            <v>525239.95025903266</v>
          </cell>
          <cell r="T428">
            <v>612779.94196887128</v>
          </cell>
          <cell r="U428">
            <v>700319.93367871013</v>
          </cell>
          <cell r="V428">
            <v>787859.92538854887</v>
          </cell>
          <cell r="W428">
            <v>831629.9212434683</v>
          </cell>
          <cell r="X428">
            <v>831629.9212434683</v>
          </cell>
          <cell r="Y428">
            <v>831629.9212434683</v>
          </cell>
          <cell r="Z428">
            <v>875399.91709838761</v>
          </cell>
          <cell r="AA428">
            <v>875399.91709838761</v>
          </cell>
          <cell r="AB428">
            <v>875399.91709838761</v>
          </cell>
          <cell r="AC428">
            <v>875399.91709838761</v>
          </cell>
          <cell r="AD428">
            <v>875399.91709838761</v>
          </cell>
          <cell r="AE428">
            <v>875399.91709838761</v>
          </cell>
          <cell r="AF428">
            <v>875399.91709838761</v>
          </cell>
          <cell r="AG428">
            <v>875399.91709838761</v>
          </cell>
          <cell r="AH428">
            <v>875399.91709838761</v>
          </cell>
          <cell r="AI428">
            <v>875399.91709838761</v>
          </cell>
          <cell r="AJ428">
            <v>875399.91709838761</v>
          </cell>
          <cell r="AK428">
            <v>875399.91709838761</v>
          </cell>
          <cell r="AL428">
            <v>875399.91709838761</v>
          </cell>
          <cell r="AM428">
            <v>875399.91709838761</v>
          </cell>
          <cell r="AN428">
            <v>875399.91709838761</v>
          </cell>
          <cell r="AO428">
            <v>875399.91709838761</v>
          </cell>
          <cell r="AP428">
            <v>875399.91709838761</v>
          </cell>
          <cell r="AQ428">
            <v>875399.91709838761</v>
          </cell>
          <cell r="AR428">
            <v>875399.91709838761</v>
          </cell>
          <cell r="AS428">
            <v>875399.91709838761</v>
          </cell>
          <cell r="AT428">
            <v>875399.91709838761</v>
          </cell>
          <cell r="AU428">
            <v>875399.91709838761</v>
          </cell>
          <cell r="AV428">
            <v>875399.91709838761</v>
          </cell>
          <cell r="AW428">
            <v>875399.91709838761</v>
          </cell>
          <cell r="AX428">
            <v>875399.91709838761</v>
          </cell>
          <cell r="AY428"/>
        </row>
        <row r="429"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32439.814814814821</v>
          </cell>
          <cell r="R429">
            <v>934963.07773957937</v>
          </cell>
          <cell r="S429">
            <v>721897.3617153184</v>
          </cell>
          <cell r="T429">
            <v>1174120.1454990748</v>
          </cell>
          <cell r="U429">
            <v>1034109.0023833511</v>
          </cell>
          <cell r="V429">
            <v>437603.87778614589</v>
          </cell>
          <cell r="W429">
            <v>1010672.0750446126</v>
          </cell>
          <cell r="X429">
            <v>1460746.1495381913</v>
          </cell>
          <cell r="Y429">
            <v>1053145.4135487739</v>
          </cell>
          <cell r="Z429">
            <v>385341.65187828749</v>
          </cell>
          <cell r="AA429">
            <v>1016058.2863136625</v>
          </cell>
          <cell r="AB429">
            <v>1536388.5688427635</v>
          </cell>
          <cell r="AC429">
            <v>1105159.4021760973</v>
          </cell>
          <cell r="AD429">
            <v>307888.56884276413</v>
          </cell>
          <cell r="AE429">
            <v>1014451.0688427642</v>
          </cell>
          <cell r="AF429">
            <v>1536388.5688427635</v>
          </cell>
          <cell r="AG429">
            <v>1105159.4021760973</v>
          </cell>
          <cell r="AH429">
            <v>307888.56884276413</v>
          </cell>
          <cell r="AI429">
            <v>1014451.0688427642</v>
          </cell>
          <cell r="AJ429">
            <v>1536388.5688427635</v>
          </cell>
          <cell r="AK429">
            <v>1105159.4021760973</v>
          </cell>
          <cell r="AL429">
            <v>307888.56884276413</v>
          </cell>
          <cell r="AM429">
            <v>1014451.0688427642</v>
          </cell>
          <cell r="AN429">
            <v>1536388.5688427635</v>
          </cell>
          <cell r="AO429">
            <v>1105159.4021760973</v>
          </cell>
          <cell r="AP429">
            <v>307888.56884276413</v>
          </cell>
          <cell r="AQ429">
            <v>1014451.0688427642</v>
          </cell>
          <cell r="AR429">
            <v>1536388.5688427635</v>
          </cell>
          <cell r="AS429">
            <v>1105159.4021760973</v>
          </cell>
          <cell r="AT429">
            <v>307888.56884276413</v>
          </cell>
          <cell r="AU429">
            <v>1014451.0688427642</v>
          </cell>
          <cell r="AV429">
            <v>1536388.5688427635</v>
          </cell>
          <cell r="AW429">
            <v>1105159.4021760973</v>
          </cell>
          <cell r="AX429">
            <v>275805.23550943076</v>
          </cell>
          <cell r="AY429"/>
        </row>
        <row r="430"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112655.11728668513</v>
          </cell>
          <cell r="S430">
            <v>80317.015996191927</v>
          </cell>
          <cell r="T430">
            <v>128624.2145039629</v>
          </cell>
          <cell r="U430">
            <v>127581.41301173386</v>
          </cell>
          <cell r="V430">
            <v>54088.611519504833</v>
          </cell>
          <cell r="W430">
            <v>115280.29829860732</v>
          </cell>
          <cell r="X430">
            <v>159668.3858238243</v>
          </cell>
          <cell r="Y430">
            <v>132237.13582382427</v>
          </cell>
          <cell r="Z430">
            <v>48740.147552492796</v>
          </cell>
          <cell r="AA430">
            <v>115571.9850777098</v>
          </cell>
          <cell r="AB430">
            <v>168071.98507770977</v>
          </cell>
          <cell r="AC430">
            <v>139196.98507770977</v>
          </cell>
          <cell r="AD430">
            <v>39446.985077709774</v>
          </cell>
          <cell r="AE430">
            <v>115571.9850777098</v>
          </cell>
          <cell r="AF430">
            <v>168071.98507770977</v>
          </cell>
          <cell r="AG430">
            <v>139196.98507770977</v>
          </cell>
          <cell r="AH430">
            <v>39446.985077709774</v>
          </cell>
          <cell r="AI430">
            <v>115571.9850777098</v>
          </cell>
          <cell r="AJ430">
            <v>168071.98507770977</v>
          </cell>
          <cell r="AK430">
            <v>139196.98507770977</v>
          </cell>
          <cell r="AL430">
            <v>39446.985077709774</v>
          </cell>
          <cell r="AM430">
            <v>115571.9850777098</v>
          </cell>
          <cell r="AN430">
            <v>168071.98507770977</v>
          </cell>
          <cell r="AO430">
            <v>139196.98507770977</v>
          </cell>
          <cell r="AP430">
            <v>39446.985077709774</v>
          </cell>
          <cell r="AQ430">
            <v>115571.9850777098</v>
          </cell>
          <cell r="AR430">
            <v>168071.98507770977</v>
          </cell>
          <cell r="AS430">
            <v>139196.98507770977</v>
          </cell>
          <cell r="AT430">
            <v>39446.985077709774</v>
          </cell>
          <cell r="AU430">
            <v>115571.9850777098</v>
          </cell>
          <cell r="AV430">
            <v>168071.98507770977</v>
          </cell>
          <cell r="AW430">
            <v>139196.98507770977</v>
          </cell>
          <cell r="AX430">
            <v>39446.985077709774</v>
          </cell>
          <cell r="AY430"/>
        </row>
        <row r="431"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/>
        </row>
        <row r="432"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402928.56709838763</v>
          </cell>
          <cell r="S432">
            <v>483514.28051806521</v>
          </cell>
          <cell r="T432">
            <v>931599.99393774266</v>
          </cell>
          <cell r="U432">
            <v>1169685.7073574204</v>
          </cell>
          <cell r="V432">
            <v>725271.42077709781</v>
          </cell>
          <cell r="W432">
            <v>765564.27748693654</v>
          </cell>
          <cell r="X432">
            <v>1264314.2774869367</v>
          </cell>
          <cell r="Y432">
            <v>1389001.7774869367</v>
          </cell>
          <cell r="Z432">
            <v>805857.13419677527</v>
          </cell>
          <cell r="AA432">
            <v>805857.13419677527</v>
          </cell>
          <cell r="AB432">
            <v>1330857.1341967753</v>
          </cell>
          <cell r="AC432">
            <v>1462107.1341967753</v>
          </cell>
          <cell r="AD432">
            <v>805857.13419677527</v>
          </cell>
          <cell r="AE432">
            <v>805857.13419677527</v>
          </cell>
          <cell r="AF432">
            <v>1330857.1341967753</v>
          </cell>
          <cell r="AG432">
            <v>1462107.1341967753</v>
          </cell>
          <cell r="AH432">
            <v>805857.13419677527</v>
          </cell>
          <cell r="AI432">
            <v>805857.13419677527</v>
          </cell>
          <cell r="AJ432">
            <v>1330857.1341967753</v>
          </cell>
          <cell r="AK432">
            <v>1462107.1341967753</v>
          </cell>
          <cell r="AL432">
            <v>805857.13419677527</v>
          </cell>
          <cell r="AM432">
            <v>805857.13419677527</v>
          </cell>
          <cell r="AN432">
            <v>1330857.1341967753</v>
          </cell>
          <cell r="AO432">
            <v>1462107.1341967753</v>
          </cell>
          <cell r="AP432">
            <v>805857.13419677527</v>
          </cell>
          <cell r="AQ432">
            <v>805857.13419677527</v>
          </cell>
          <cell r="AR432">
            <v>1330857.1341967753</v>
          </cell>
          <cell r="AS432">
            <v>1462107.1341967753</v>
          </cell>
          <cell r="AT432">
            <v>805857.13419677527</v>
          </cell>
          <cell r="AU432">
            <v>805857.13419677527</v>
          </cell>
          <cell r="AV432">
            <v>1330857.1341967753</v>
          </cell>
          <cell r="AW432">
            <v>1462107.1341967753</v>
          </cell>
          <cell r="AX432">
            <v>805857.13419677527</v>
          </cell>
          <cell r="AY432"/>
        </row>
        <row r="433"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4863.3328727688195</v>
          </cell>
          <cell r="S433">
            <v>5835.9994473225843</v>
          </cell>
          <cell r="T433">
            <v>6808.6660218763491</v>
          </cell>
          <cell r="U433">
            <v>7781.332596430113</v>
          </cell>
          <cell r="V433">
            <v>8753.999170983876</v>
          </cell>
          <cell r="W433">
            <v>9240.3324582607584</v>
          </cell>
          <cell r="X433">
            <v>9240.3324582607584</v>
          </cell>
          <cell r="Y433">
            <v>9240.3324582607584</v>
          </cell>
          <cell r="Z433">
            <v>9726.6657455376389</v>
          </cell>
          <cell r="AA433">
            <v>9726.6657455376389</v>
          </cell>
          <cell r="AB433">
            <v>9726.6657455376389</v>
          </cell>
          <cell r="AC433">
            <v>9726.6657455376389</v>
          </cell>
          <cell r="AD433">
            <v>9726.6657455376389</v>
          </cell>
          <cell r="AE433">
            <v>9726.6657455376389</v>
          </cell>
          <cell r="AF433">
            <v>9726.6657455376389</v>
          </cell>
          <cell r="AG433">
            <v>9726.6657455376389</v>
          </cell>
          <cell r="AH433">
            <v>9726.6657455376389</v>
          </cell>
          <cell r="AI433">
            <v>9726.6657455376389</v>
          </cell>
          <cell r="AJ433">
            <v>9726.6657455376389</v>
          </cell>
          <cell r="AK433">
            <v>9726.6657455376389</v>
          </cell>
          <cell r="AL433">
            <v>9726.6657455376389</v>
          </cell>
          <cell r="AM433">
            <v>9726.6657455376389</v>
          </cell>
          <cell r="AN433">
            <v>9726.6657455376389</v>
          </cell>
          <cell r="AO433">
            <v>9726.6657455376389</v>
          </cell>
          <cell r="AP433">
            <v>9726.6657455376389</v>
          </cell>
          <cell r="AQ433">
            <v>9726.6657455376389</v>
          </cell>
          <cell r="AR433">
            <v>9726.6657455376389</v>
          </cell>
          <cell r="AS433">
            <v>9726.6657455376389</v>
          </cell>
          <cell r="AT433">
            <v>9726.6657455376389</v>
          </cell>
          <cell r="AU433">
            <v>9726.6657455376389</v>
          </cell>
          <cell r="AV433">
            <v>9726.6657455376389</v>
          </cell>
          <cell r="AW433">
            <v>9726.6657455376389</v>
          </cell>
          <cell r="AX433">
            <v>9726.6657455376389</v>
          </cell>
          <cell r="AY433"/>
        </row>
        <row r="434"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16295.830109381743</v>
          </cell>
          <cell r="S434">
            <v>19554.996131258093</v>
          </cell>
          <cell r="T434">
            <v>22814.162153134439</v>
          </cell>
          <cell r="U434">
            <v>26073.328175010785</v>
          </cell>
          <cell r="V434">
            <v>29332.494196887135</v>
          </cell>
          <cell r="W434">
            <v>30962.07720782531</v>
          </cell>
          <cell r="X434">
            <v>30962.07720782531</v>
          </cell>
          <cell r="Y434">
            <v>30962.07720782531</v>
          </cell>
          <cell r="Z434">
            <v>32591.660218763485</v>
          </cell>
          <cell r="AA434">
            <v>32591.660218763485</v>
          </cell>
          <cell r="AB434">
            <v>32591.660218763485</v>
          </cell>
          <cell r="AC434">
            <v>32591.660218763485</v>
          </cell>
          <cell r="AD434">
            <v>32591.660218763485</v>
          </cell>
          <cell r="AE434">
            <v>32591.660218763485</v>
          </cell>
          <cell r="AF434">
            <v>32591.660218763485</v>
          </cell>
          <cell r="AG434">
            <v>32591.660218763485</v>
          </cell>
          <cell r="AH434">
            <v>32591.660218763485</v>
          </cell>
          <cell r="AI434">
            <v>32591.660218763485</v>
          </cell>
          <cell r="AJ434">
            <v>32591.660218763485</v>
          </cell>
          <cell r="AK434">
            <v>32591.660218763485</v>
          </cell>
          <cell r="AL434">
            <v>32591.660218763485</v>
          </cell>
          <cell r="AM434">
            <v>32591.660218763485</v>
          </cell>
          <cell r="AN434">
            <v>32591.660218763485</v>
          </cell>
          <cell r="AO434">
            <v>32591.660218763485</v>
          </cell>
          <cell r="AP434">
            <v>32591.660218763485</v>
          </cell>
          <cell r="AQ434">
            <v>32591.660218763485</v>
          </cell>
          <cell r="AR434">
            <v>32591.660218763485</v>
          </cell>
          <cell r="AS434">
            <v>32591.660218763485</v>
          </cell>
          <cell r="AT434">
            <v>32591.660218763485</v>
          </cell>
          <cell r="AU434">
            <v>32591.660218763485</v>
          </cell>
          <cell r="AV434">
            <v>32591.660218763485</v>
          </cell>
          <cell r="AW434">
            <v>32591.660218763485</v>
          </cell>
          <cell r="AX434">
            <v>32591.660218763485</v>
          </cell>
          <cell r="AY434"/>
        </row>
        <row r="435"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29569.542991652801</v>
          </cell>
          <cell r="S435">
            <v>23713.360214333268</v>
          </cell>
          <cell r="T435">
            <v>27273.250537533801</v>
          </cell>
          <cell r="U435">
            <v>37716.47419406769</v>
          </cell>
          <cell r="V435">
            <v>27509.697850601555</v>
          </cell>
          <cell r="W435">
            <v>34995.967207970156</v>
          </cell>
          <cell r="X435">
            <v>33818.95807040514</v>
          </cell>
          <cell r="Y435">
            <v>41992.916403738476</v>
          </cell>
          <cell r="Z435">
            <v>28601.954036237086</v>
          </cell>
          <cell r="AA435">
            <v>35598.903232005418</v>
          </cell>
          <cell r="AB435">
            <v>35598.903232005418</v>
          </cell>
          <cell r="AC435">
            <v>44203.069898672082</v>
          </cell>
          <cell r="AD435">
            <v>26994.736565338746</v>
          </cell>
          <cell r="AE435">
            <v>35598.903232005418</v>
          </cell>
          <cell r="AF435">
            <v>35598.903232005418</v>
          </cell>
          <cell r="AG435">
            <v>44203.069898672082</v>
          </cell>
          <cell r="AH435">
            <v>26994.736565338746</v>
          </cell>
          <cell r="AI435">
            <v>35598.903232005418</v>
          </cell>
          <cell r="AJ435">
            <v>35598.903232005418</v>
          </cell>
          <cell r="AK435">
            <v>44203.069898672082</v>
          </cell>
          <cell r="AL435">
            <v>26994.736565338746</v>
          </cell>
          <cell r="AM435">
            <v>35598.903232005418</v>
          </cell>
          <cell r="AN435">
            <v>35598.903232005418</v>
          </cell>
          <cell r="AO435">
            <v>44203.069898672082</v>
          </cell>
          <cell r="AP435">
            <v>26994.736565338746</v>
          </cell>
          <cell r="AQ435">
            <v>35598.903232005418</v>
          </cell>
          <cell r="AR435">
            <v>35598.903232005418</v>
          </cell>
          <cell r="AS435">
            <v>44203.069898672082</v>
          </cell>
          <cell r="AT435">
            <v>26994.736565338746</v>
          </cell>
          <cell r="AU435">
            <v>35598.903232005418</v>
          </cell>
          <cell r="AV435">
            <v>35598.903232005418</v>
          </cell>
          <cell r="AW435">
            <v>44203.069898672082</v>
          </cell>
          <cell r="AX435">
            <v>26994.736565338746</v>
          </cell>
          <cell r="AY435"/>
        </row>
        <row r="436"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32439.814814814821</v>
          </cell>
          <cell r="S436">
            <v>22529.629629629631</v>
          </cell>
          <cell r="T436">
            <v>48196.296296296307</v>
          </cell>
          <cell r="U436">
            <v>32154.629629629624</v>
          </cell>
          <cell r="V436">
            <v>6487.9629629629599</v>
          </cell>
          <cell r="W436">
            <v>32118.981481481489</v>
          </cell>
          <cell r="X436">
            <v>60958.333333333336</v>
          </cell>
          <cell r="Y436">
            <v>30479.166666666668</v>
          </cell>
          <cell r="Z436">
            <v>3243.981481481484</v>
          </cell>
          <cell r="AA436">
            <v>32083.333333333339</v>
          </cell>
          <cell r="AB436">
            <v>64166.666666666657</v>
          </cell>
          <cell r="AC436">
            <v>32083.333333333328</v>
          </cell>
          <cell r="AD436">
            <v>0</v>
          </cell>
          <cell r="AE436">
            <v>32083.333333333339</v>
          </cell>
          <cell r="AF436">
            <v>64166.666666666657</v>
          </cell>
          <cell r="AG436">
            <v>32083.333333333328</v>
          </cell>
          <cell r="AH436">
            <v>0</v>
          </cell>
          <cell r="AI436">
            <v>32083.333333333339</v>
          </cell>
          <cell r="AJ436">
            <v>64166.666666666657</v>
          </cell>
          <cell r="AK436">
            <v>32083.333333333328</v>
          </cell>
          <cell r="AL436">
            <v>0</v>
          </cell>
          <cell r="AM436">
            <v>32083.333333333339</v>
          </cell>
          <cell r="AN436">
            <v>64166.666666666657</v>
          </cell>
          <cell r="AO436">
            <v>32083.333333333328</v>
          </cell>
          <cell r="AP436">
            <v>0</v>
          </cell>
          <cell r="AQ436">
            <v>32083.333333333339</v>
          </cell>
          <cell r="AR436">
            <v>64166.666666666657</v>
          </cell>
          <cell r="AS436">
            <v>32083.333333333328</v>
          </cell>
          <cell r="AT436">
            <v>0</v>
          </cell>
          <cell r="AU436">
            <v>32083.333333333339</v>
          </cell>
          <cell r="AV436">
            <v>64166.666666666657</v>
          </cell>
          <cell r="AW436">
            <v>32083.333333333328</v>
          </cell>
          <cell r="AX436">
            <v>0</v>
          </cell>
          <cell r="AY436"/>
        </row>
        <row r="437"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-2.3283064365386963E-10</v>
          </cell>
          <cell r="S437">
            <v>2.5465851649641991E-11</v>
          </cell>
          <cell r="T437">
            <v>-3.2741809263825417E-10</v>
          </cell>
          <cell r="U437">
            <v>1.8189894035458565E-11</v>
          </cell>
          <cell r="V437">
            <v>6.0754246078431606E-10</v>
          </cell>
          <cell r="W437">
            <v>1.3096723705530167E-10</v>
          </cell>
          <cell r="X437">
            <v>-6.9849193096160889E-10</v>
          </cell>
          <cell r="Y437">
            <v>0</v>
          </cell>
          <cell r="Z437">
            <v>9.4223651103675365E-10</v>
          </cell>
          <cell r="AA437">
            <v>-3.4924596548080444E-10</v>
          </cell>
          <cell r="AB437">
            <v>1.5133991837501526E-9</v>
          </cell>
          <cell r="AC437">
            <v>1.862645149230957E-9</v>
          </cell>
          <cell r="AD437">
            <v>-1.1641532182693481E-9</v>
          </cell>
          <cell r="AE437">
            <v>-1.280568540096283E-9</v>
          </cell>
          <cell r="AF437">
            <v>2.4447217583656311E-9</v>
          </cell>
          <cell r="AG437">
            <v>1.862645149230957E-9</v>
          </cell>
          <cell r="AH437">
            <v>-1.1641532182693481E-9</v>
          </cell>
          <cell r="AI437">
            <v>-1.280568540096283E-9</v>
          </cell>
          <cell r="AJ437">
            <v>-1.280568540096283E-9</v>
          </cell>
          <cell r="AK437">
            <v>3.7252902984619141E-9</v>
          </cell>
          <cell r="AL437">
            <v>-1.1641532182693481E-9</v>
          </cell>
          <cell r="AM437">
            <v>-1.280568540096283E-9</v>
          </cell>
          <cell r="AN437">
            <v>2.4447217583656311E-9</v>
          </cell>
          <cell r="AO437">
            <v>0</v>
          </cell>
          <cell r="AP437">
            <v>-1.1641532182693481E-9</v>
          </cell>
          <cell r="AQ437">
            <v>-1.280568540096283E-9</v>
          </cell>
          <cell r="AR437">
            <v>-1.280568540096283E-9</v>
          </cell>
          <cell r="AS437">
            <v>3.7252902984619141E-9</v>
          </cell>
          <cell r="AT437">
            <v>-1.1641532182693481E-9</v>
          </cell>
          <cell r="AU437">
            <v>-1.280568540096283E-9</v>
          </cell>
          <cell r="AV437">
            <v>2.4447217583656311E-9</v>
          </cell>
          <cell r="AW437">
            <v>0</v>
          </cell>
          <cell r="AX437">
            <v>1.280568540096283E-9</v>
          </cell>
          <cell r="AY437"/>
        </row>
      </sheetData>
      <sheetData sheetId="3">
        <row r="194">
          <cell r="B194">
            <v>-223352.15804104239</v>
          </cell>
        </row>
        <row r="196">
          <cell r="B196">
            <v>5.9004354301837925E-2</v>
          </cell>
        </row>
        <row r="205">
          <cell r="B205" t="str">
            <v>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B8" t="str">
            <v>7.0</v>
          </cell>
        </row>
        <row r="15">
          <cell r="B15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/>
      <sheetData sheetId="264"/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итог"/>
      <sheetName val="Доминанта1"/>
      <sheetName val="Доминанта2"/>
      <sheetName val="Ярославский 14"/>
      <sheetName val="Маяк"/>
      <sheetName val="Продажи 04.03"/>
      <sheetName val="Продажи 01.02"/>
      <sheetName val="Продажи 23.01"/>
      <sheetName val="Продажи 11.01"/>
      <sheetName val="Продажи 05.02"/>
      <sheetName val="Продажи 24.12"/>
      <sheetName val="Продажи 15.01"/>
      <sheetName val="Шувалово-Озерки кв. 9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B10">
            <v>54446.94</v>
          </cell>
        </row>
        <row r="24">
          <cell r="B24">
            <v>46527.98</v>
          </cell>
        </row>
        <row r="38">
          <cell r="B38">
            <v>9883</v>
          </cell>
        </row>
        <row r="52">
          <cell r="B52">
            <v>7034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Номенклатура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  <sheetName val="расчет тарифов"/>
      <sheetName val="свод"/>
      <sheetName val="sapactivexlhiddensheet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s://a8800.ru/catalog/sorbenty-neftesorbenty/diatomit-kizelgur?ysclid=lkhoqjcuo4992046255" TargetMode="External"/><Relationship Id="rId3" Type="http://schemas.openxmlformats.org/officeDocument/2006/relationships/hyperlink" Target="https://salavat-neftekhim.gazprom.ru/" TargetMode="External"/><Relationship Id="rId7" Type="http://schemas.openxmlformats.org/officeDocument/2006/relationships/hyperlink" Target="https://a8800.ru/catalog/sorbenty-neftesorbenty/diatomit-kizelgur?ysclid=lkhoqjcuo4992046255" TargetMode="External"/><Relationship Id="rId12" Type="http://schemas.openxmlformats.org/officeDocument/2006/relationships/comments" Target="../comments3.xml"/><Relationship Id="rId2" Type="http://schemas.openxmlformats.org/officeDocument/2006/relationships/hyperlink" Target="https://tdofk.ru/catalog/sernaya-kislota-h2so4?ysclid=lke21hy4ou482115607" TargetMode="External"/><Relationship Id="rId1" Type="http://schemas.openxmlformats.org/officeDocument/2006/relationships/hyperlink" Target="https://novospasskij-r73.gosweb.gosuslugi.ru/dlya-zhiteley/poleznye-materialy/tarify-oplaty-uslug-zhkh/" TargetMode="External"/><Relationship Id="rId6" Type="http://schemas.openxmlformats.org/officeDocument/2006/relationships/hyperlink" Target="https://uralhimsorb.ru/assets/files/17.07.2023g-aktivnye-ugli-pzs-uhs-yur.pdf" TargetMode="External"/><Relationship Id="rId11" Type="http://schemas.openxmlformats.org/officeDocument/2006/relationships/vmlDrawing" Target="../drawings/vmlDrawing3.vml"/><Relationship Id="rId5" Type="http://schemas.openxmlformats.org/officeDocument/2006/relationships/hyperlink" Target="https://spb.a8800.ru/catalog/cshelochi?ysclid=lkhnmidkgy692266953" TargetMode="External"/><Relationship Id="rId10" Type="http://schemas.openxmlformats.org/officeDocument/2006/relationships/hyperlink" Target="https://russian.alibaba.com/p-detail/20-1600233039343.html?spm=a2700.7724857.0.0.7a434171j4OqMd" TargetMode="External"/><Relationship Id="rId4" Type="http://schemas.openxmlformats.org/officeDocument/2006/relationships/hyperlink" Target="https://a8800.ru/catalog/penogasiteli_penta" TargetMode="External"/><Relationship Id="rId9" Type="http://schemas.openxmlformats.org/officeDocument/2006/relationships/hyperlink" Target="https://www.stalerplast.ru/myagkie-konteynery-big-begi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s://forkagro.com/monitoring/view/21?ysclid=lkmwtcpi92322547817" TargetMode="External"/><Relationship Id="rId2" Type="http://schemas.openxmlformats.org/officeDocument/2006/relationships/hyperlink" Target="https://www.mcx73.ru/activity/insurance-rules/" TargetMode="External"/><Relationship Id="rId1" Type="http://schemas.openxmlformats.org/officeDocument/2006/relationships/hyperlink" Target="https://www.fedstat.ru/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hyperlink" Target="https://73.rosstat.gov.ru/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hyperlink" Target="https://old.ulenergo.ru/tseny-tarify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gge.ru/services/calculator/?ysclid=lkqgmst2q4695954889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atersmarket.ru/ht-ro-50-05-8-xle/" TargetMode="External"/><Relationship Id="rId2" Type="http://schemas.openxmlformats.org/officeDocument/2006/relationships/hyperlink" Target="https://fsapsan.ru/catalog/zernoochistitelnoe-oborudovanie/zernoviye_separatori/magnitnye-separatory/julite-5sx-5ii/" TargetMode="External"/><Relationship Id="rId1" Type="http://schemas.openxmlformats.org/officeDocument/2006/relationships/hyperlink" Target="http://kanmash.ru/drobilka-rotornaya-km-dr-10h10.html?ysclid=lkhfnn55z7896010347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aquakrat.ru/products/lokalnye-ochistnye-sooruzheniya/ceny-na-los/?ysclid=lkmcx4stdk259295936" TargetMode="External"/><Relationship Id="rId4" Type="http://schemas.openxmlformats.org/officeDocument/2006/relationships/hyperlink" Target="https://aquakrat.ru/products/lokalnye-ochistnye-sooruzheniya/ceny-na-los/?ysclid=lkmcx4stdk259295936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s://hmru.ru/catalog/palletoupakovshchiki/palletoupakovshchik_hl_1650f_s_e_platformoy_s_motorizirovannoy_karetkoy_s_prestreychem/" TargetMode="External"/><Relationship Id="rId1" Type="http://schemas.openxmlformats.org/officeDocument/2006/relationships/hyperlink" Target="https://isilos.ru/1price_wam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russian.alibaba.com/product-detail/HGM-80-Ultra-Fine-Mine-Grinding-1600309982003.html" TargetMode="External"/><Relationship Id="rId2" Type="http://schemas.openxmlformats.org/officeDocument/2006/relationships/hyperlink" Target="https://www.stroymehanika.ru/catalog/sushilnye-ustanovki-barabannogo-tipa/sushilnye-ustanovki-barabannogo-tipa-niagara/" TargetMode="External"/><Relationship Id="rId1" Type="http://schemas.openxmlformats.org/officeDocument/2006/relationships/hyperlink" Target="https://www.italtech.biz/" TargetMode="External"/><Relationship Id="rId4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zoomScale="130" zoomScaleNormal="130" workbookViewId="0">
      <selection activeCell="F6" sqref="F6"/>
    </sheetView>
  </sheetViews>
  <sheetFormatPr baseColWidth="10" defaultColWidth="9.1640625" defaultRowHeight="15"/>
  <cols>
    <col min="1" max="1" width="32.1640625" style="6" customWidth="1"/>
    <col min="2" max="2" width="9" style="6" bestFit="1" customWidth="1"/>
    <col min="3" max="4" width="9.83203125" style="3" bestFit="1" customWidth="1"/>
    <col min="5" max="5" width="10.1640625" style="3" bestFit="1" customWidth="1"/>
    <col min="6" max="16384" width="9.1640625" style="3"/>
  </cols>
  <sheetData>
    <row r="1" spans="1:5" ht="23" customHeight="1">
      <c r="A1" s="783" t="s">
        <v>587</v>
      </c>
      <c r="B1" s="783"/>
      <c r="C1" s="65" t="s">
        <v>289</v>
      </c>
      <c r="D1" s="6">
        <v>0</v>
      </c>
    </row>
    <row r="2" spans="1:5" ht="16">
      <c r="A2" s="62" t="s">
        <v>0</v>
      </c>
      <c r="B2" s="62" t="s">
        <v>1</v>
      </c>
      <c r="C2" s="40" t="s">
        <v>4</v>
      </c>
      <c r="D2" s="40" t="s">
        <v>9</v>
      </c>
    </row>
    <row r="3" spans="1:5" ht="52" customHeight="1">
      <c r="A3" s="5" t="s">
        <v>20</v>
      </c>
      <c r="B3" s="2" t="s">
        <v>28</v>
      </c>
      <c r="C3" s="60">
        <v>2.5000000000000001E-3</v>
      </c>
      <c r="D3" s="2" t="s">
        <v>132</v>
      </c>
    </row>
    <row r="4" spans="1:5" ht="16">
      <c r="A4" s="31" t="s">
        <v>74</v>
      </c>
      <c r="B4" s="2" t="s">
        <v>28</v>
      </c>
      <c r="C4" s="42">
        <v>0</v>
      </c>
      <c r="D4" s="61"/>
    </row>
    <row r="5" spans="1:5" ht="16">
      <c r="A5" s="31" t="s">
        <v>71</v>
      </c>
      <c r="B5" s="2" t="s">
        <v>28</v>
      </c>
      <c r="C5" s="42">
        <v>0</v>
      </c>
      <c r="D5" s="30"/>
    </row>
    <row r="6" spans="1:5" ht="16">
      <c r="A6" s="31" t="s">
        <v>101</v>
      </c>
      <c r="B6" s="2" t="s">
        <v>225</v>
      </c>
      <c r="C6" s="30">
        <v>30</v>
      </c>
      <c r="D6" s="30"/>
    </row>
    <row r="7" spans="1:5" ht="16">
      <c r="A7" s="31" t="s">
        <v>72</v>
      </c>
      <c r="B7" s="2" t="s">
        <v>218</v>
      </c>
      <c r="C7" s="30">
        <v>8</v>
      </c>
      <c r="D7" s="30"/>
    </row>
    <row r="8" spans="1:5" ht="16">
      <c r="A8" s="31" t="s">
        <v>73</v>
      </c>
      <c r="B8" s="2" t="s">
        <v>225</v>
      </c>
      <c r="C8" s="30">
        <v>330</v>
      </c>
      <c r="D8" s="30"/>
    </row>
    <row r="9" spans="1:5" ht="16">
      <c r="A9" s="31" t="s">
        <v>542</v>
      </c>
      <c r="B9" s="30" t="s">
        <v>218</v>
      </c>
      <c r="C9" s="30">
        <f>C8*24</f>
        <v>7920</v>
      </c>
      <c r="D9" s="30"/>
    </row>
    <row r="10" spans="1:5" ht="16">
      <c r="A10" s="31" t="s">
        <v>228</v>
      </c>
      <c r="B10" s="2" t="s">
        <v>229</v>
      </c>
      <c r="C10" s="30">
        <v>12</v>
      </c>
      <c r="D10" s="30"/>
    </row>
    <row r="11" spans="1:5" ht="32">
      <c r="A11" s="31" t="s">
        <v>86</v>
      </c>
      <c r="B11" s="2" t="s">
        <v>229</v>
      </c>
      <c r="C11" s="30">
        <v>6</v>
      </c>
      <c r="D11" s="30"/>
    </row>
    <row r="12" spans="1:5" ht="16">
      <c r="A12" s="5" t="s">
        <v>75</v>
      </c>
      <c r="B12" s="2" t="s">
        <v>37</v>
      </c>
      <c r="C12" s="466">
        <v>102.0271</v>
      </c>
      <c r="D12" s="30" t="s">
        <v>230</v>
      </c>
      <c r="E12" s="218">
        <v>45126</v>
      </c>
    </row>
    <row r="13" spans="1:5" ht="16">
      <c r="A13" s="5" t="s">
        <v>69</v>
      </c>
      <c r="B13" s="2" t="s">
        <v>37</v>
      </c>
      <c r="C13" s="466">
        <v>90.690600000000003</v>
      </c>
      <c r="D13" s="30" t="s">
        <v>230</v>
      </c>
      <c r="E13" s="218">
        <f>E12</f>
        <v>45126</v>
      </c>
    </row>
    <row r="14" spans="1:5" ht="16">
      <c r="A14" s="31" t="s">
        <v>797</v>
      </c>
      <c r="B14" s="2" t="s">
        <v>37</v>
      </c>
      <c r="C14" s="466">
        <v>12.6351</v>
      </c>
      <c r="D14" s="30" t="s">
        <v>230</v>
      </c>
      <c r="E14" s="218">
        <f>E12</f>
        <v>45126</v>
      </c>
    </row>
    <row r="15" spans="1:5" ht="16">
      <c r="A15" s="31" t="s">
        <v>625</v>
      </c>
      <c r="B15" s="30"/>
      <c r="C15" s="30"/>
      <c r="D15" s="30"/>
    </row>
    <row r="16" spans="1:5" ht="16">
      <c r="A16" s="84" t="s">
        <v>217</v>
      </c>
      <c r="B16" s="30" t="s">
        <v>28</v>
      </c>
      <c r="C16" s="42">
        <v>1</v>
      </c>
      <c r="D16" s="30"/>
    </row>
    <row r="17" spans="1:4" ht="16">
      <c r="A17" s="84" t="s">
        <v>274</v>
      </c>
      <c r="B17" s="30" t="s">
        <v>28</v>
      </c>
      <c r="C17" s="42">
        <v>1</v>
      </c>
      <c r="D17" s="30"/>
    </row>
    <row r="18" spans="1:4" ht="16">
      <c r="A18" s="84" t="s">
        <v>626</v>
      </c>
      <c r="B18" s="30" t="s">
        <v>28</v>
      </c>
      <c r="C18" s="42">
        <v>1</v>
      </c>
      <c r="D18" s="30"/>
    </row>
    <row r="19" spans="1:4" ht="16">
      <c r="A19" s="84" t="s">
        <v>322</v>
      </c>
      <c r="B19" s="30" t="s">
        <v>28</v>
      </c>
      <c r="C19" s="42">
        <v>1</v>
      </c>
      <c r="D19" s="30"/>
    </row>
    <row r="20" spans="1:4" ht="16">
      <c r="A20" s="84" t="s">
        <v>351</v>
      </c>
      <c r="B20" s="30" t="s">
        <v>28</v>
      </c>
      <c r="C20" s="42">
        <v>1</v>
      </c>
      <c r="D20" s="30"/>
    </row>
    <row r="21" spans="1:4" ht="16">
      <c r="A21" s="84" t="s">
        <v>352</v>
      </c>
      <c r="B21" s="30" t="s">
        <v>28</v>
      </c>
      <c r="C21" s="42">
        <v>1</v>
      </c>
      <c r="D21" s="30"/>
    </row>
    <row r="22" spans="1:4" ht="16">
      <c r="A22" s="84" t="s">
        <v>61</v>
      </c>
      <c r="B22" s="30" t="s">
        <v>28</v>
      </c>
      <c r="C22" s="42">
        <v>1</v>
      </c>
      <c r="D22" s="30"/>
    </row>
    <row r="23" spans="1:4" ht="16">
      <c r="A23" s="31" t="s">
        <v>995</v>
      </c>
      <c r="B23" s="30" t="s">
        <v>1000</v>
      </c>
      <c r="C23" s="32">
        <f>10000*30</f>
        <v>300000</v>
      </c>
      <c r="D23" s="30"/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C4A4A-2B19-5544-8B4A-63B4E6B4D8CA}">
  <dimension ref="A1:H19"/>
  <sheetViews>
    <sheetView zoomScale="120" zoomScaleNormal="120" workbookViewId="0">
      <selection activeCell="F8" sqref="F8"/>
    </sheetView>
  </sheetViews>
  <sheetFormatPr baseColWidth="10" defaultColWidth="9.1640625" defaultRowHeight="15"/>
  <cols>
    <col min="1" max="1" width="24.1640625" style="36" bestFit="1" customWidth="1"/>
    <col min="2" max="2" width="7.6640625" style="36" bestFit="1" customWidth="1"/>
    <col min="3" max="5" width="10.83203125" style="36" customWidth="1"/>
    <col min="6" max="6" width="16.5" style="36" customWidth="1"/>
    <col min="7" max="7" width="10.6640625" style="36" bestFit="1" customWidth="1"/>
    <col min="8" max="16384" width="9.1640625" style="36"/>
  </cols>
  <sheetData>
    <row r="1" spans="1:8" ht="22.5" customHeight="1">
      <c r="A1" s="809" t="s">
        <v>692</v>
      </c>
      <c r="B1" s="809"/>
      <c r="C1" s="809"/>
      <c r="D1" s="809"/>
      <c r="E1" s="394" t="s">
        <v>289</v>
      </c>
      <c r="F1" s="434">
        <v>6</v>
      </c>
    </row>
    <row r="2" spans="1:8" ht="45.75" customHeight="1">
      <c r="A2" s="196" t="s">
        <v>63</v>
      </c>
      <c r="B2" s="196" t="s">
        <v>1</v>
      </c>
      <c r="C2" s="197" t="s">
        <v>591</v>
      </c>
      <c r="D2" s="197" t="s">
        <v>593</v>
      </c>
      <c r="E2" s="197" t="s">
        <v>594</v>
      </c>
      <c r="F2" s="197" t="s">
        <v>290</v>
      </c>
    </row>
    <row r="3" spans="1:8" ht="16">
      <c r="A3" s="387" t="s">
        <v>676</v>
      </c>
      <c r="B3" s="388" t="s">
        <v>281</v>
      </c>
      <c r="C3" s="474">
        <f>E8/F8</f>
        <v>38888.888888888891</v>
      </c>
      <c r="D3" s="391">
        <v>0.86</v>
      </c>
      <c r="E3" s="198">
        <f>D3*C3</f>
        <v>33444.444444444445</v>
      </c>
      <c r="F3" s="199">
        <v>1</v>
      </c>
    </row>
    <row r="4" spans="1:8">
      <c r="A4" s="805"/>
      <c r="B4" s="806"/>
      <c r="C4" s="807"/>
      <c r="D4" s="806"/>
      <c r="E4" s="806"/>
      <c r="F4" s="808"/>
    </row>
    <row r="5" spans="1:8" ht="16">
      <c r="A5" s="201" t="s">
        <v>694</v>
      </c>
      <c r="B5" s="389" t="s">
        <v>281</v>
      </c>
      <c r="C5" s="198">
        <f>E5/D5</f>
        <v>38694.444444444453</v>
      </c>
      <c r="D5" s="391">
        <v>0.86</v>
      </c>
      <c r="E5" s="198">
        <f>E3*F5</f>
        <v>33277.222222222226</v>
      </c>
      <c r="F5" s="390">
        <f>1-F6</f>
        <v>0.995</v>
      </c>
      <c r="G5" s="200"/>
      <c r="H5" s="44"/>
    </row>
    <row r="6" spans="1:8" ht="16">
      <c r="A6" s="201" t="s">
        <v>695</v>
      </c>
      <c r="B6" s="389" t="s">
        <v>281</v>
      </c>
      <c r="C6" s="198">
        <f>E6/D6</f>
        <v>194.44444444444446</v>
      </c>
      <c r="D6" s="391">
        <v>0.86</v>
      </c>
      <c r="E6" s="198">
        <f>E5/F5*F6</f>
        <v>167.22222222222223</v>
      </c>
      <c r="F6" s="390">
        <v>5.0000000000000001E-3</v>
      </c>
    </row>
    <row r="7" spans="1:8">
      <c r="A7" s="805" t="s">
        <v>589</v>
      </c>
      <c r="B7" s="806"/>
      <c r="C7" s="807"/>
      <c r="D7" s="806"/>
      <c r="E7" s="806"/>
      <c r="F7" s="808"/>
    </row>
    <row r="8" spans="1:8" ht="16">
      <c r="A8" s="201" t="s">
        <v>590</v>
      </c>
      <c r="B8" s="389" t="s">
        <v>281</v>
      </c>
      <c r="C8" s="198">
        <f>E8/D8</f>
        <v>66520.467836257303</v>
      </c>
      <c r="D8" s="391">
        <v>0.38</v>
      </c>
      <c r="E8" s="198">
        <f>E11/F11</f>
        <v>25277.777777777777</v>
      </c>
      <c r="F8" s="405">
        <v>0.65</v>
      </c>
      <c r="G8" s="44" t="s">
        <v>696</v>
      </c>
    </row>
    <row r="9" spans="1:8" ht="16">
      <c r="A9" s="201" t="s">
        <v>697</v>
      </c>
      <c r="B9" s="389" t="s">
        <v>281</v>
      </c>
      <c r="C9" s="198">
        <f>E9/D9</f>
        <v>21491.228070175443</v>
      </c>
      <c r="D9" s="391">
        <v>0.38</v>
      </c>
      <c r="E9" s="198">
        <f>E3-E8</f>
        <v>8166.6666666666679</v>
      </c>
      <c r="F9" s="392">
        <f>1-F8</f>
        <v>0.35</v>
      </c>
    </row>
    <row r="10" spans="1:8">
      <c r="A10" s="805" t="s">
        <v>292</v>
      </c>
      <c r="B10" s="806"/>
      <c r="C10" s="807"/>
      <c r="D10" s="806"/>
      <c r="E10" s="806"/>
      <c r="F10" s="808"/>
    </row>
    <row r="11" spans="1:8" ht="16">
      <c r="A11" s="201" t="s">
        <v>693</v>
      </c>
      <c r="B11" s="389" t="s">
        <v>281</v>
      </c>
      <c r="C11" s="404">
        <v>20000</v>
      </c>
      <c r="D11" s="391">
        <v>0.91</v>
      </c>
      <c r="E11" s="198">
        <f>C11*D11</f>
        <v>18200</v>
      </c>
      <c r="F11" s="199">
        <v>0.72</v>
      </c>
    </row>
    <row r="12" spans="1:8" ht="32">
      <c r="A12" s="201" t="s">
        <v>698</v>
      </c>
      <c r="B12" s="389" t="s">
        <v>281</v>
      </c>
      <c r="C12" s="198">
        <f>E12/D12</f>
        <v>7999.6212121212138</v>
      </c>
      <c r="D12" s="391">
        <v>0.88</v>
      </c>
      <c r="E12" s="198">
        <f>E9*F12</f>
        <v>7039.6666666666679</v>
      </c>
      <c r="F12" s="199">
        <v>0.86199999999999999</v>
      </c>
      <c r="G12" s="393"/>
    </row>
    <row r="13" spans="1:8" ht="16">
      <c r="A13" s="201" t="s">
        <v>699</v>
      </c>
      <c r="B13" s="389" t="s">
        <v>281</v>
      </c>
      <c r="C13" s="198">
        <f>E13/D13</f>
        <v>4500.0322997416024</v>
      </c>
      <c r="D13" s="391">
        <v>0.86</v>
      </c>
      <c r="E13" s="198">
        <f>F13*E8</f>
        <v>3870.0277777777783</v>
      </c>
      <c r="F13" s="199">
        <v>0.15310000000000001</v>
      </c>
    </row>
    <row r="14" spans="1:8" ht="16">
      <c r="A14" s="201" t="s">
        <v>702</v>
      </c>
      <c r="B14" s="389" t="s">
        <v>281</v>
      </c>
      <c r="C14" s="198">
        <f>E14/D14</f>
        <v>33750.000000000007</v>
      </c>
      <c r="D14" s="391">
        <v>0.48</v>
      </c>
      <c r="E14" s="198">
        <f>F14*C11</f>
        <v>16200.000000000002</v>
      </c>
      <c r="F14" s="199">
        <v>0.81</v>
      </c>
    </row>
    <row r="15" spans="1:8" ht="16">
      <c r="A15" s="201" t="s">
        <v>703</v>
      </c>
      <c r="B15" s="389" t="s">
        <v>281</v>
      </c>
      <c r="C15" s="198">
        <f>E15/D15</f>
        <v>18000</v>
      </c>
      <c r="D15" s="483">
        <v>0.9</v>
      </c>
      <c r="E15" s="198">
        <f>E14</f>
        <v>16200.000000000002</v>
      </c>
      <c r="F15" s="199">
        <v>1</v>
      </c>
    </row>
    <row r="16" spans="1:8" ht="25" customHeight="1">
      <c r="A16" s="476" t="s">
        <v>700</v>
      </c>
      <c r="B16" s="480" t="s">
        <v>281</v>
      </c>
      <c r="C16" s="477"/>
      <c r="D16" s="477"/>
      <c r="E16" s="477">
        <f>SUM(E11:E13)</f>
        <v>29109.694444444445</v>
      </c>
      <c r="F16" s="478"/>
    </row>
    <row r="17" spans="1:6" ht="33" customHeight="1">
      <c r="A17" s="479" t="s">
        <v>701</v>
      </c>
      <c r="B17" s="480" t="s">
        <v>281</v>
      </c>
      <c r="C17" s="481"/>
      <c r="D17" s="481"/>
      <c r="E17" s="482">
        <f>E5-E16</f>
        <v>4167.527777777781</v>
      </c>
      <c r="F17" s="481"/>
    </row>
    <row r="18" spans="1:6" ht="33" customHeight="1">
      <c r="A18" s="479" t="s">
        <v>704</v>
      </c>
      <c r="B18" s="480" t="s">
        <v>281</v>
      </c>
      <c r="C18" s="481"/>
      <c r="D18" s="481"/>
      <c r="E18" s="482">
        <f>C14-C15</f>
        <v>15750.000000000007</v>
      </c>
      <c r="F18" s="481"/>
    </row>
    <row r="19" spans="1:6" ht="16" thickBot="1">
      <c r="A19" s="475"/>
      <c r="B19" s="810" t="s">
        <v>622</v>
      </c>
      <c r="C19" s="810"/>
      <c r="D19" s="811"/>
    </row>
  </sheetData>
  <mergeCells count="5">
    <mergeCell ref="A10:F10"/>
    <mergeCell ref="A4:F4"/>
    <mergeCell ref="A7:F7"/>
    <mergeCell ref="A1:D1"/>
    <mergeCell ref="B19:D19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4"/>
  <sheetViews>
    <sheetView zoomScale="130" zoomScaleNormal="130" zoomScaleSheetLayoutView="70" workbookViewId="0">
      <selection activeCell="D23" sqref="D23"/>
    </sheetView>
  </sheetViews>
  <sheetFormatPr baseColWidth="10" defaultColWidth="8.83203125" defaultRowHeight="15"/>
  <cols>
    <col min="1" max="1" width="3.1640625" bestFit="1" customWidth="1"/>
    <col min="2" max="2" width="31.83203125" bestFit="1" customWidth="1"/>
    <col min="3" max="3" width="7.1640625" bestFit="1" customWidth="1"/>
    <col min="4" max="4" width="8.83203125" bestFit="1" customWidth="1"/>
    <col min="5" max="5" width="7.5" bestFit="1" customWidth="1"/>
    <col min="6" max="6" width="9.1640625" customWidth="1"/>
    <col min="7" max="13" width="9.33203125" bestFit="1" customWidth="1"/>
  </cols>
  <sheetData>
    <row r="1" spans="1:13" ht="21" customHeight="1">
      <c r="A1" s="812" t="s">
        <v>677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373" t="s">
        <v>147</v>
      </c>
      <c r="M1" s="374">
        <v>7</v>
      </c>
    </row>
    <row r="2" spans="1:13">
      <c r="A2" s="76" t="s">
        <v>62</v>
      </c>
      <c r="B2" s="76" t="s">
        <v>108</v>
      </c>
      <c r="C2" s="76" t="s">
        <v>284</v>
      </c>
      <c r="D2" s="372">
        <f>'9_Пр-во'!D2</f>
        <v>2024</v>
      </c>
      <c r="E2" s="372">
        <f>'9_Пр-во'!E2</f>
        <v>2025</v>
      </c>
      <c r="F2" s="372">
        <f>'9_Пр-во'!F2</f>
        <v>2026</v>
      </c>
      <c r="G2" s="372">
        <f>'9_Пр-во'!G2</f>
        <v>2027</v>
      </c>
      <c r="H2" s="372">
        <f>'9_Пр-во'!H2</f>
        <v>2028</v>
      </c>
      <c r="I2" s="372">
        <f>'9_Пр-во'!I2</f>
        <v>2029</v>
      </c>
      <c r="J2" s="372">
        <f>'9_Пр-во'!J2</f>
        <v>2030</v>
      </c>
      <c r="K2" s="372">
        <f>'9_Пр-во'!K2</f>
        <v>2031</v>
      </c>
      <c r="L2" s="372">
        <f>'9_Пр-во'!L2</f>
        <v>2032</v>
      </c>
      <c r="M2" s="372">
        <f>'9_Пр-во'!M2</f>
        <v>2033</v>
      </c>
    </row>
    <row r="3" spans="1:13" s="186" customFormat="1" ht="16">
      <c r="A3" s="184"/>
      <c r="B3" s="79" t="s">
        <v>282</v>
      </c>
      <c r="C3" s="79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3" s="188" customFormat="1">
      <c r="A4" s="187">
        <v>1</v>
      </c>
      <c r="B4" s="187" t="str">
        <f>'8_Цены_ГП'!B3</f>
        <v>ЛК</v>
      </c>
      <c r="C4" s="192">
        <f>'9_Пр-во'!C4</f>
        <v>20000</v>
      </c>
      <c r="D4" s="192">
        <f>'9_Пр-во'!D4</f>
        <v>0</v>
      </c>
      <c r="E4" s="192">
        <f>'9_Пр-во'!E4</f>
        <v>0</v>
      </c>
      <c r="F4" s="192">
        <f>'9_Пр-во'!F4</f>
        <v>10000</v>
      </c>
      <c r="G4" s="192">
        <f>'9_Пр-во'!G4</f>
        <v>20000</v>
      </c>
      <c r="H4" s="192">
        <f>'9_Пр-во'!H4</f>
        <v>20000</v>
      </c>
      <c r="I4" s="192">
        <f>'9_Пр-во'!I4</f>
        <v>20000</v>
      </c>
      <c r="J4" s="192">
        <f>'9_Пр-во'!J4</f>
        <v>20000</v>
      </c>
      <c r="K4" s="192">
        <f>'9_Пр-во'!K4</f>
        <v>20000</v>
      </c>
      <c r="L4" s="192">
        <f>'9_Пр-во'!L4</f>
        <v>20000</v>
      </c>
      <c r="M4" s="192">
        <f>'9_Пр-во'!M4</f>
        <v>20000</v>
      </c>
    </row>
    <row r="5" spans="1:13" s="188" customFormat="1">
      <c r="A5" s="187">
        <v>2</v>
      </c>
      <c r="B5" s="187" t="str">
        <f>'8_Цены_ГП'!B4</f>
        <v>Сухой кукурузный корм (гликопротеин)</v>
      </c>
      <c r="C5" s="192">
        <f>'9_Пр-во'!C9</f>
        <v>7999.6212121212138</v>
      </c>
      <c r="D5" s="192">
        <f>'9_Пр-во'!D9</f>
        <v>0</v>
      </c>
      <c r="E5" s="192">
        <f>'9_Пр-во'!E9</f>
        <v>0</v>
      </c>
      <c r="F5" s="192">
        <f>'9_Пр-во'!F9</f>
        <v>3999.8106060606069</v>
      </c>
      <c r="G5" s="192">
        <f>'9_Пр-во'!G9</f>
        <v>7999.6212121212138</v>
      </c>
      <c r="H5" s="192">
        <f>'9_Пр-во'!H9</f>
        <v>7999.6212121212138</v>
      </c>
      <c r="I5" s="192">
        <f>'9_Пр-во'!I9</f>
        <v>7999.6212121212138</v>
      </c>
      <c r="J5" s="192">
        <f>'9_Пр-во'!J9</f>
        <v>7999.6212121212138</v>
      </c>
      <c r="K5" s="192">
        <f>'9_Пр-во'!K9</f>
        <v>7999.6212121212138</v>
      </c>
      <c r="L5" s="192">
        <f>'9_Пр-во'!L9</f>
        <v>7999.6212121212138</v>
      </c>
      <c r="M5" s="192">
        <f>'9_Пр-во'!M9</f>
        <v>7999.6212121212138</v>
      </c>
    </row>
    <row r="6" spans="1:13" s="188" customFormat="1">
      <c r="A6" s="187">
        <v>3</v>
      </c>
      <c r="B6" s="187" t="str">
        <f>'8_Цены_ГП'!B5</f>
        <v>Корм (мицелиальный белок)</v>
      </c>
      <c r="C6" s="192">
        <f>'9_Пр-во'!C14</f>
        <v>4500.0322997416024</v>
      </c>
      <c r="D6" s="192">
        <f>'9_Пр-во'!D14</f>
        <v>0</v>
      </c>
      <c r="E6" s="192">
        <f>'9_Пр-во'!E14</f>
        <v>0</v>
      </c>
      <c r="F6" s="192">
        <f>'9_Пр-во'!F14</f>
        <v>2250.0161498708012</v>
      </c>
      <c r="G6" s="192">
        <f>'9_Пр-во'!G14</f>
        <v>4500.0322997416024</v>
      </c>
      <c r="H6" s="192">
        <f>'9_Пр-во'!H14</f>
        <v>4500.0322997416024</v>
      </c>
      <c r="I6" s="192">
        <f>'9_Пр-во'!I14</f>
        <v>4500.0322997416024</v>
      </c>
      <c r="J6" s="192">
        <f>'9_Пр-во'!J14</f>
        <v>4500.0322997416024</v>
      </c>
      <c r="K6" s="192">
        <f>'9_Пр-во'!K14</f>
        <v>4500.0322997416024</v>
      </c>
      <c r="L6" s="192">
        <f>'9_Пр-во'!L14</f>
        <v>4500.0322997416024</v>
      </c>
      <c r="M6" s="192">
        <f>'9_Пр-во'!M14</f>
        <v>4500.0322997416024</v>
      </c>
    </row>
    <row r="7" spans="1:13" s="188" customFormat="1">
      <c r="A7" s="187">
        <v>4</v>
      </c>
      <c r="B7" s="187" t="str">
        <f>'8_Цены_ГП'!B6</f>
        <v>Цитрогипс_сухой</v>
      </c>
      <c r="C7" s="192">
        <f>'9_Пр-во'!C16</f>
        <v>18000</v>
      </c>
      <c r="D7" s="192">
        <f>'9_Пр-во'!D16</f>
        <v>0</v>
      </c>
      <c r="E7" s="192">
        <f>'9_Пр-во'!E16</f>
        <v>0</v>
      </c>
      <c r="F7" s="192">
        <f>'9_Пр-во'!F16</f>
        <v>9000</v>
      </c>
      <c r="G7" s="192">
        <f>'9_Пр-во'!G16</f>
        <v>18000</v>
      </c>
      <c r="H7" s="192">
        <f>'9_Пр-во'!H16</f>
        <v>18000</v>
      </c>
      <c r="I7" s="192">
        <f>'9_Пр-во'!I16</f>
        <v>18000</v>
      </c>
      <c r="J7" s="192">
        <f>'9_Пр-во'!J16</f>
        <v>18000</v>
      </c>
      <c r="K7" s="192">
        <f>'9_Пр-во'!K16</f>
        <v>18000</v>
      </c>
      <c r="L7" s="192">
        <f>'9_Пр-во'!L16</f>
        <v>18000</v>
      </c>
      <c r="M7" s="192">
        <f>'9_Пр-во'!M16</f>
        <v>18000</v>
      </c>
    </row>
    <row r="8" spans="1:13" s="188" customFormat="1">
      <c r="A8" s="187">
        <v>5</v>
      </c>
      <c r="B8" s="187" t="s">
        <v>592</v>
      </c>
      <c r="C8" s="192">
        <f>'9_Пр-во'!C18</f>
        <v>0</v>
      </c>
      <c r="D8" s="192">
        <f>'9_Пр-во'!D18</f>
        <v>0</v>
      </c>
      <c r="E8" s="192">
        <f>'9_Пр-во'!E18</f>
        <v>0</v>
      </c>
      <c r="F8" s="192">
        <f>'9_Пр-во'!F18</f>
        <v>0</v>
      </c>
      <c r="G8" s="192">
        <f>'9_Пр-во'!G18</f>
        <v>0</v>
      </c>
      <c r="H8" s="192">
        <f>'9_Пр-во'!H18</f>
        <v>0</v>
      </c>
      <c r="I8" s="192">
        <f>'9_Пр-во'!I18</f>
        <v>0</v>
      </c>
      <c r="J8" s="192">
        <f>'9_Пр-во'!J18</f>
        <v>0</v>
      </c>
      <c r="K8" s="192">
        <f>'9_Пр-во'!K18</f>
        <v>0</v>
      </c>
      <c r="L8" s="192">
        <f>'9_Пр-во'!L18</f>
        <v>0</v>
      </c>
      <c r="M8" s="192">
        <f>'9_Пр-во'!M18</f>
        <v>0</v>
      </c>
    </row>
    <row r="9" spans="1:13" s="188" customFormat="1" ht="16">
      <c r="A9" s="395"/>
      <c r="B9" s="79" t="s">
        <v>283</v>
      </c>
      <c r="C9" s="194"/>
      <c r="D9" s="396"/>
      <c r="E9" s="396"/>
      <c r="F9" s="396"/>
      <c r="G9" s="396"/>
      <c r="H9" s="396"/>
      <c r="I9" s="396"/>
      <c r="J9" s="396"/>
      <c r="K9" s="396"/>
      <c r="L9" s="396"/>
      <c r="M9" s="396"/>
    </row>
    <row r="10" spans="1:13">
      <c r="A10" s="75">
        <v>1</v>
      </c>
      <c r="B10" s="33" t="str">
        <f>'8_Цены_ГП'!B3</f>
        <v>ЛК</v>
      </c>
      <c r="C10" s="192">
        <f>C4</f>
        <v>20000</v>
      </c>
      <c r="D10" s="78">
        <f>'9_Пр-во'!D6</f>
        <v>0</v>
      </c>
      <c r="E10" s="78">
        <f>'9_Пр-во'!E6</f>
        <v>0</v>
      </c>
      <c r="F10" s="78">
        <f>'9_Пр-во'!F6</f>
        <v>10000</v>
      </c>
      <c r="G10" s="78">
        <f>'9_Пр-во'!G6</f>
        <v>20000</v>
      </c>
      <c r="H10" s="78">
        <f>'9_Пр-во'!H6</f>
        <v>20000</v>
      </c>
      <c r="I10" s="78">
        <f>'9_Пр-во'!I6</f>
        <v>20000</v>
      </c>
      <c r="J10" s="78">
        <f>'9_Пр-во'!J6</f>
        <v>20000</v>
      </c>
      <c r="K10" s="78">
        <f>'9_Пр-во'!K6</f>
        <v>20000</v>
      </c>
      <c r="L10" s="78">
        <f>'9_Пр-во'!L6</f>
        <v>20000</v>
      </c>
      <c r="M10" s="78">
        <f>'9_Пр-во'!M6</f>
        <v>20000</v>
      </c>
    </row>
    <row r="11" spans="1:13">
      <c r="A11" s="75">
        <v>2</v>
      </c>
      <c r="B11" s="33" t="str">
        <f>'8_Цены_ГП'!B4</f>
        <v>Сухой кукурузный корм (гликопротеин)</v>
      </c>
      <c r="C11" s="77">
        <f>C5</f>
        <v>7999.6212121212138</v>
      </c>
      <c r="D11" s="78">
        <f>'9_Пр-во'!D11</f>
        <v>0</v>
      </c>
      <c r="E11" s="78">
        <f>'9_Пр-во'!E11</f>
        <v>0</v>
      </c>
      <c r="F11" s="78">
        <f>'9_Пр-во'!F11</f>
        <v>3999.8106060606069</v>
      </c>
      <c r="G11" s="78">
        <f>'9_Пр-во'!G11</f>
        <v>7999.6212121212138</v>
      </c>
      <c r="H11" s="78">
        <f>'9_Пр-во'!H11</f>
        <v>7999.6212121212138</v>
      </c>
      <c r="I11" s="78">
        <f>'9_Пр-во'!I11</f>
        <v>7999.6212121212138</v>
      </c>
      <c r="J11" s="78">
        <f>'9_Пр-во'!J11</f>
        <v>7999.6212121212138</v>
      </c>
      <c r="K11" s="78">
        <f>'9_Пр-во'!K11</f>
        <v>7999.6212121212138</v>
      </c>
      <c r="L11" s="78">
        <f>'9_Пр-во'!L11</f>
        <v>7999.6212121212138</v>
      </c>
      <c r="M11" s="78">
        <f>'9_Пр-во'!M11</f>
        <v>7999.6212121212138</v>
      </c>
    </row>
    <row r="12" spans="1:13">
      <c r="A12" s="75">
        <v>3</v>
      </c>
      <c r="B12" s="33" t="str">
        <f>'8_Цены_ГП'!B5</f>
        <v>Корм (мицелиальный белок)</v>
      </c>
      <c r="C12" s="77">
        <f>C6</f>
        <v>4500.0322997416024</v>
      </c>
      <c r="D12" s="78">
        <f>D6</f>
        <v>0</v>
      </c>
      <c r="E12" s="78">
        <f t="shared" ref="E12:M12" si="0">E6</f>
        <v>0</v>
      </c>
      <c r="F12" s="78">
        <f t="shared" si="0"/>
        <v>2250.0161498708012</v>
      </c>
      <c r="G12" s="78">
        <f t="shared" si="0"/>
        <v>4500.0322997416024</v>
      </c>
      <c r="H12" s="78">
        <f t="shared" si="0"/>
        <v>4500.0322997416024</v>
      </c>
      <c r="I12" s="78">
        <f t="shared" si="0"/>
        <v>4500.0322997416024</v>
      </c>
      <c r="J12" s="78">
        <f t="shared" si="0"/>
        <v>4500.0322997416024</v>
      </c>
      <c r="K12" s="78">
        <f t="shared" si="0"/>
        <v>4500.0322997416024</v>
      </c>
      <c r="L12" s="78">
        <f t="shared" si="0"/>
        <v>4500.0322997416024</v>
      </c>
      <c r="M12" s="78">
        <f t="shared" si="0"/>
        <v>4500.0322997416024</v>
      </c>
    </row>
    <row r="13" spans="1:13">
      <c r="A13" s="75">
        <v>4</v>
      </c>
      <c r="B13" s="33" t="str">
        <f>'8_Цены_ГП'!B6</f>
        <v>Цитрогипс_сухой</v>
      </c>
      <c r="C13" s="77">
        <f>C7</f>
        <v>18000</v>
      </c>
      <c r="D13" s="78">
        <f>D7</f>
        <v>0</v>
      </c>
      <c r="E13" s="78">
        <f t="shared" ref="E13:M13" si="1">E7</f>
        <v>0</v>
      </c>
      <c r="F13" s="78">
        <f t="shared" si="1"/>
        <v>9000</v>
      </c>
      <c r="G13" s="78">
        <f t="shared" si="1"/>
        <v>18000</v>
      </c>
      <c r="H13" s="78">
        <f t="shared" si="1"/>
        <v>18000</v>
      </c>
      <c r="I13" s="78">
        <f t="shared" si="1"/>
        <v>18000</v>
      </c>
      <c r="J13" s="78">
        <f t="shared" si="1"/>
        <v>18000</v>
      </c>
      <c r="K13" s="78">
        <f t="shared" si="1"/>
        <v>18000</v>
      </c>
      <c r="L13" s="78">
        <f t="shared" si="1"/>
        <v>18000</v>
      </c>
      <c r="M13" s="78">
        <f t="shared" si="1"/>
        <v>18000</v>
      </c>
    </row>
    <row r="14" spans="1:13">
      <c r="A14" s="75">
        <v>5</v>
      </c>
      <c r="B14" s="33" t="s">
        <v>592</v>
      </c>
      <c r="C14" s="77">
        <f>C8</f>
        <v>0</v>
      </c>
      <c r="D14" s="77">
        <f t="shared" ref="D14:M14" si="2">D8</f>
        <v>0</v>
      </c>
      <c r="E14" s="77">
        <f t="shared" si="2"/>
        <v>0</v>
      </c>
      <c r="F14" s="77">
        <f t="shared" si="2"/>
        <v>0</v>
      </c>
      <c r="G14" s="77">
        <f t="shared" si="2"/>
        <v>0</v>
      </c>
      <c r="H14" s="77">
        <f t="shared" si="2"/>
        <v>0</v>
      </c>
      <c r="I14" s="77">
        <f t="shared" si="2"/>
        <v>0</v>
      </c>
      <c r="J14" s="77">
        <f t="shared" si="2"/>
        <v>0</v>
      </c>
      <c r="K14" s="77">
        <f t="shared" si="2"/>
        <v>0</v>
      </c>
      <c r="L14" s="77">
        <f t="shared" si="2"/>
        <v>0</v>
      </c>
      <c r="M14" s="77">
        <f t="shared" si="2"/>
        <v>0</v>
      </c>
    </row>
    <row r="15" spans="1:13" ht="16">
      <c r="A15" s="189"/>
      <c r="B15" s="79" t="s">
        <v>107</v>
      </c>
      <c r="C15" s="190"/>
      <c r="D15" s="191"/>
      <c r="E15" s="191"/>
      <c r="F15" s="191"/>
      <c r="G15" s="191"/>
      <c r="H15" s="191"/>
      <c r="I15" s="191"/>
      <c r="J15" s="191"/>
      <c r="K15" s="191"/>
      <c r="L15" s="191"/>
      <c r="M15" s="191"/>
    </row>
    <row r="16" spans="1:13">
      <c r="A16" s="75">
        <v>1</v>
      </c>
      <c r="B16" s="33" t="str">
        <f>B4</f>
        <v>ЛК</v>
      </c>
      <c r="C16" s="33"/>
      <c r="D16" s="78">
        <f>D4-D10</f>
        <v>0</v>
      </c>
      <c r="E16" s="78">
        <f t="shared" ref="E16:M16" si="3">E4-E10</f>
        <v>0</v>
      </c>
      <c r="F16" s="78">
        <f t="shared" si="3"/>
        <v>0</v>
      </c>
      <c r="G16" s="78">
        <f t="shared" si="3"/>
        <v>0</v>
      </c>
      <c r="H16" s="78">
        <f t="shared" si="3"/>
        <v>0</v>
      </c>
      <c r="I16" s="78">
        <f t="shared" si="3"/>
        <v>0</v>
      </c>
      <c r="J16" s="78">
        <f t="shared" si="3"/>
        <v>0</v>
      </c>
      <c r="K16" s="78">
        <f t="shared" si="3"/>
        <v>0</v>
      </c>
      <c r="L16" s="78">
        <f t="shared" si="3"/>
        <v>0</v>
      </c>
      <c r="M16" s="78">
        <f t="shared" si="3"/>
        <v>0</v>
      </c>
    </row>
    <row r="17" spans="1:13">
      <c r="A17" s="75">
        <v>2</v>
      </c>
      <c r="B17" s="33" t="str">
        <f>B5</f>
        <v>Сухой кукурузный корм (гликопротеин)</v>
      </c>
      <c r="C17" s="33"/>
      <c r="D17" s="78">
        <f>D5-D11</f>
        <v>0</v>
      </c>
      <c r="E17" s="78">
        <f t="shared" ref="E17:M17" si="4">E5-E11</f>
        <v>0</v>
      </c>
      <c r="F17" s="78">
        <f t="shared" si="4"/>
        <v>0</v>
      </c>
      <c r="G17" s="78">
        <f t="shared" si="4"/>
        <v>0</v>
      </c>
      <c r="H17" s="78">
        <f t="shared" si="4"/>
        <v>0</v>
      </c>
      <c r="I17" s="78">
        <f t="shared" si="4"/>
        <v>0</v>
      </c>
      <c r="J17" s="78">
        <f t="shared" si="4"/>
        <v>0</v>
      </c>
      <c r="K17" s="78">
        <f t="shared" si="4"/>
        <v>0</v>
      </c>
      <c r="L17" s="78">
        <f t="shared" si="4"/>
        <v>0</v>
      </c>
      <c r="M17" s="78">
        <f t="shared" si="4"/>
        <v>0</v>
      </c>
    </row>
    <row r="18" spans="1:13">
      <c r="A18" s="75">
        <v>3</v>
      </c>
      <c r="B18" s="33" t="str">
        <f>B6</f>
        <v>Корм (мицелиальный белок)</v>
      </c>
      <c r="C18" s="33"/>
      <c r="D18" s="78">
        <f>D6-D12</f>
        <v>0</v>
      </c>
      <c r="E18" s="78">
        <f t="shared" ref="E18:M18" si="5">E6-E12</f>
        <v>0</v>
      </c>
      <c r="F18" s="78">
        <f t="shared" si="5"/>
        <v>0</v>
      </c>
      <c r="G18" s="78">
        <f t="shared" si="5"/>
        <v>0</v>
      </c>
      <c r="H18" s="78">
        <f t="shared" si="5"/>
        <v>0</v>
      </c>
      <c r="I18" s="78">
        <f t="shared" si="5"/>
        <v>0</v>
      </c>
      <c r="J18" s="78">
        <f t="shared" si="5"/>
        <v>0</v>
      </c>
      <c r="K18" s="78">
        <f t="shared" si="5"/>
        <v>0</v>
      </c>
      <c r="L18" s="78">
        <f t="shared" si="5"/>
        <v>0</v>
      </c>
      <c r="M18" s="78">
        <f t="shared" si="5"/>
        <v>0</v>
      </c>
    </row>
    <row r="19" spans="1:13">
      <c r="A19" s="75">
        <v>4</v>
      </c>
      <c r="B19" s="33" t="str">
        <f>B7</f>
        <v>Цитрогипс_сухой</v>
      </c>
      <c r="C19" s="33"/>
      <c r="D19" s="78">
        <f>D7-D13</f>
        <v>0</v>
      </c>
      <c r="E19" s="78">
        <f t="shared" ref="E19:M19" si="6">E7-E13</f>
        <v>0</v>
      </c>
      <c r="F19" s="78">
        <f t="shared" si="6"/>
        <v>0</v>
      </c>
      <c r="G19" s="78">
        <f t="shared" si="6"/>
        <v>0</v>
      </c>
      <c r="H19" s="78">
        <f t="shared" si="6"/>
        <v>0</v>
      </c>
      <c r="I19" s="78">
        <f t="shared" si="6"/>
        <v>0</v>
      </c>
      <c r="J19" s="78">
        <f t="shared" si="6"/>
        <v>0</v>
      </c>
      <c r="K19" s="78">
        <f t="shared" si="6"/>
        <v>0</v>
      </c>
      <c r="L19" s="78">
        <f t="shared" si="6"/>
        <v>0</v>
      </c>
      <c r="M19" s="78">
        <f t="shared" si="6"/>
        <v>0</v>
      </c>
    </row>
    <row r="20" spans="1:13">
      <c r="A20" s="75">
        <v>5</v>
      </c>
      <c r="B20" s="33" t="s">
        <v>592</v>
      </c>
      <c r="C20" s="33"/>
      <c r="D20" s="78">
        <f>D8-D14</f>
        <v>0</v>
      </c>
      <c r="E20" s="78">
        <f t="shared" ref="E20:M20" si="7">E8-E14</f>
        <v>0</v>
      </c>
      <c r="F20" s="78">
        <f t="shared" si="7"/>
        <v>0</v>
      </c>
      <c r="G20" s="78">
        <f t="shared" si="7"/>
        <v>0</v>
      </c>
      <c r="H20" s="78">
        <f t="shared" si="7"/>
        <v>0</v>
      </c>
      <c r="I20" s="78">
        <f t="shared" si="7"/>
        <v>0</v>
      </c>
      <c r="J20" s="78">
        <f t="shared" si="7"/>
        <v>0</v>
      </c>
      <c r="K20" s="78">
        <f t="shared" si="7"/>
        <v>0</v>
      </c>
      <c r="L20" s="78">
        <f t="shared" si="7"/>
        <v>0</v>
      </c>
      <c r="M20" s="78">
        <f t="shared" si="7"/>
        <v>0</v>
      </c>
    </row>
    <row r="21" spans="1:13" ht="16">
      <c r="A21" s="80"/>
      <c r="B21" s="79" t="s">
        <v>109</v>
      </c>
      <c r="C21" s="79"/>
    </row>
    <row r="22" spans="1:13">
      <c r="A22" s="34">
        <f t="shared" ref="A22:B25" si="8">A10</f>
        <v>1</v>
      </c>
      <c r="B22" s="33" t="str">
        <f t="shared" si="8"/>
        <v>ЛК</v>
      </c>
      <c r="C22" s="33"/>
      <c r="D22" s="77">
        <f>'8_Цены_ГП'!G3</f>
        <v>143565.70192999998</v>
      </c>
      <c r="E22" s="77">
        <f>D22</f>
        <v>143565.70192999998</v>
      </c>
      <c r="F22" s="77">
        <f t="shared" ref="F22:M22" si="9">E22</f>
        <v>143565.70192999998</v>
      </c>
      <c r="G22" s="77">
        <f t="shared" si="9"/>
        <v>143565.70192999998</v>
      </c>
      <c r="H22" s="77">
        <f t="shared" si="9"/>
        <v>143565.70192999998</v>
      </c>
      <c r="I22" s="77">
        <f t="shared" si="9"/>
        <v>143565.70192999998</v>
      </c>
      <c r="J22" s="77">
        <f t="shared" si="9"/>
        <v>143565.70192999998</v>
      </c>
      <c r="K22" s="77">
        <f t="shared" si="9"/>
        <v>143565.70192999998</v>
      </c>
      <c r="L22" s="77">
        <f t="shared" si="9"/>
        <v>143565.70192999998</v>
      </c>
      <c r="M22" s="77">
        <f t="shared" si="9"/>
        <v>143565.70192999998</v>
      </c>
    </row>
    <row r="23" spans="1:13">
      <c r="A23" s="34">
        <f t="shared" si="8"/>
        <v>2</v>
      </c>
      <c r="B23" s="33" t="str">
        <f t="shared" si="8"/>
        <v>Сухой кукурузный корм (гликопротеин)</v>
      </c>
      <c r="C23" s="33"/>
      <c r="D23" s="77">
        <f>'8_Цены_ГП'!G4</f>
        <v>13521.685000000001</v>
      </c>
      <c r="E23" s="77">
        <f t="shared" ref="E23:M26" si="10">D23</f>
        <v>13521.685000000001</v>
      </c>
      <c r="F23" s="77">
        <f t="shared" si="10"/>
        <v>13521.685000000001</v>
      </c>
      <c r="G23" s="77">
        <f t="shared" si="10"/>
        <v>13521.685000000001</v>
      </c>
      <c r="H23" s="77">
        <f t="shared" si="10"/>
        <v>13521.685000000001</v>
      </c>
      <c r="I23" s="77">
        <f t="shared" si="10"/>
        <v>13521.685000000001</v>
      </c>
      <c r="J23" s="77">
        <f t="shared" si="10"/>
        <v>13521.685000000001</v>
      </c>
      <c r="K23" s="77">
        <f t="shared" si="10"/>
        <v>13521.685000000001</v>
      </c>
      <c r="L23" s="77">
        <f t="shared" si="10"/>
        <v>13521.685000000001</v>
      </c>
      <c r="M23" s="77">
        <f t="shared" si="10"/>
        <v>13521.685000000001</v>
      </c>
    </row>
    <row r="24" spans="1:13">
      <c r="A24" s="34">
        <f t="shared" si="8"/>
        <v>3</v>
      </c>
      <c r="B24" s="33" t="str">
        <f t="shared" si="8"/>
        <v>Корм (мицелиальный белок)</v>
      </c>
      <c r="C24" s="33"/>
      <c r="D24" s="77">
        <f>'8_Цены_ГП'!G5</f>
        <v>18521.685000000001</v>
      </c>
      <c r="E24" s="77">
        <f t="shared" si="10"/>
        <v>18521.685000000001</v>
      </c>
      <c r="F24" s="77">
        <f t="shared" si="10"/>
        <v>18521.685000000001</v>
      </c>
      <c r="G24" s="77">
        <f t="shared" si="10"/>
        <v>18521.685000000001</v>
      </c>
      <c r="H24" s="77">
        <f t="shared" si="10"/>
        <v>18521.685000000001</v>
      </c>
      <c r="I24" s="77">
        <f t="shared" si="10"/>
        <v>18521.685000000001</v>
      </c>
      <c r="J24" s="77">
        <f t="shared" si="10"/>
        <v>18521.685000000001</v>
      </c>
      <c r="K24" s="77">
        <f t="shared" si="10"/>
        <v>18521.685000000001</v>
      </c>
      <c r="L24" s="77">
        <f t="shared" si="10"/>
        <v>18521.685000000001</v>
      </c>
      <c r="M24" s="77">
        <f t="shared" si="10"/>
        <v>18521.685000000001</v>
      </c>
    </row>
    <row r="25" spans="1:13">
      <c r="A25" s="34">
        <f t="shared" si="8"/>
        <v>4</v>
      </c>
      <c r="B25" s="33" t="str">
        <f t="shared" si="8"/>
        <v>Цитрогипс_сухой</v>
      </c>
      <c r="C25" s="33"/>
      <c r="D25" s="77">
        <f>'8_Цены_ГП'!G6</f>
        <v>2000</v>
      </c>
      <c r="E25" s="77">
        <f t="shared" si="10"/>
        <v>2000</v>
      </c>
      <c r="F25" s="77">
        <f t="shared" si="10"/>
        <v>2000</v>
      </c>
      <c r="G25" s="77">
        <f t="shared" si="10"/>
        <v>2000</v>
      </c>
      <c r="H25" s="77">
        <f t="shared" si="10"/>
        <v>2000</v>
      </c>
      <c r="I25" s="77">
        <f t="shared" si="10"/>
        <v>2000</v>
      </c>
      <c r="J25" s="77">
        <f t="shared" si="10"/>
        <v>2000</v>
      </c>
      <c r="K25" s="77">
        <f t="shared" si="10"/>
        <v>2000</v>
      </c>
      <c r="L25" s="77">
        <f t="shared" si="10"/>
        <v>2000</v>
      </c>
      <c r="M25" s="77">
        <f t="shared" si="10"/>
        <v>2000</v>
      </c>
    </row>
    <row r="26" spans="1:13">
      <c r="A26" s="34">
        <v>5</v>
      </c>
      <c r="B26" s="33" t="s">
        <v>592</v>
      </c>
      <c r="C26" s="33"/>
      <c r="D26" s="77">
        <v>10800</v>
      </c>
      <c r="E26" s="77">
        <f>D26</f>
        <v>10800</v>
      </c>
      <c r="F26" s="77">
        <f t="shared" si="10"/>
        <v>10800</v>
      </c>
      <c r="G26" s="77">
        <f t="shared" si="10"/>
        <v>10800</v>
      </c>
      <c r="H26" s="77">
        <f t="shared" si="10"/>
        <v>10800</v>
      </c>
      <c r="I26" s="77">
        <f t="shared" si="10"/>
        <v>10800</v>
      </c>
      <c r="J26" s="77">
        <f t="shared" si="10"/>
        <v>10800</v>
      </c>
      <c r="K26" s="77">
        <f t="shared" si="10"/>
        <v>10800</v>
      </c>
      <c r="L26" s="77">
        <f t="shared" si="10"/>
        <v>10800</v>
      </c>
      <c r="M26" s="77">
        <f t="shared" si="10"/>
        <v>10800</v>
      </c>
    </row>
    <row r="27" spans="1:13" ht="16">
      <c r="B27" s="79" t="s">
        <v>110</v>
      </c>
      <c r="C27" s="79"/>
    </row>
    <row r="28" spans="1:13">
      <c r="A28" s="33">
        <f t="shared" ref="A28:B31" si="11">A22</f>
        <v>1</v>
      </c>
      <c r="B28" s="33" t="str">
        <f t="shared" si="11"/>
        <v>ЛК</v>
      </c>
      <c r="C28" s="33"/>
      <c r="D28" s="78">
        <f>D10*D22/1000</f>
        <v>0</v>
      </c>
      <c r="E28" s="78">
        <f t="shared" ref="E28:M28" si="12">E10*E22/1000</f>
        <v>0</v>
      </c>
      <c r="F28" s="78">
        <f>F10*F22/1000</f>
        <v>1435657.0192999998</v>
      </c>
      <c r="G28" s="78">
        <f t="shared" si="12"/>
        <v>2871314.0385999996</v>
      </c>
      <c r="H28" s="78">
        <f t="shared" si="12"/>
        <v>2871314.0385999996</v>
      </c>
      <c r="I28" s="78">
        <f t="shared" si="12"/>
        <v>2871314.0385999996</v>
      </c>
      <c r="J28" s="78">
        <f t="shared" si="12"/>
        <v>2871314.0385999996</v>
      </c>
      <c r="K28" s="78">
        <f t="shared" si="12"/>
        <v>2871314.0385999996</v>
      </c>
      <c r="L28" s="78">
        <f t="shared" si="12"/>
        <v>2871314.0385999996</v>
      </c>
      <c r="M28" s="78">
        <f t="shared" si="12"/>
        <v>2871314.0385999996</v>
      </c>
    </row>
    <row r="29" spans="1:13">
      <c r="A29" s="33">
        <f t="shared" si="11"/>
        <v>2</v>
      </c>
      <c r="B29" s="33" t="str">
        <f t="shared" si="11"/>
        <v>Сухой кукурузный корм (гликопротеин)</v>
      </c>
      <c r="C29" s="33"/>
      <c r="D29" s="78">
        <f>D11*D23/1000</f>
        <v>0</v>
      </c>
      <c r="E29" s="78">
        <f t="shared" ref="E29:M29" si="13">E11*E23/1000</f>
        <v>0</v>
      </c>
      <c r="F29" s="78">
        <f t="shared" si="13"/>
        <v>54084.179074810621</v>
      </c>
      <c r="G29" s="78">
        <f t="shared" si="13"/>
        <v>108168.35814962124</v>
      </c>
      <c r="H29" s="78">
        <f t="shared" si="13"/>
        <v>108168.35814962124</v>
      </c>
      <c r="I29" s="78">
        <f t="shared" si="13"/>
        <v>108168.35814962124</v>
      </c>
      <c r="J29" s="78">
        <f t="shared" si="13"/>
        <v>108168.35814962124</v>
      </c>
      <c r="K29" s="78">
        <f t="shared" si="13"/>
        <v>108168.35814962124</v>
      </c>
      <c r="L29" s="78">
        <f t="shared" si="13"/>
        <v>108168.35814962124</v>
      </c>
      <c r="M29" s="78">
        <f t="shared" si="13"/>
        <v>108168.35814962124</v>
      </c>
    </row>
    <row r="30" spans="1:13">
      <c r="A30" s="33">
        <f t="shared" si="11"/>
        <v>3</v>
      </c>
      <c r="B30" s="33" t="str">
        <f t="shared" si="11"/>
        <v>Корм (мицелиальный белок)</v>
      </c>
      <c r="C30" s="33"/>
      <c r="D30" s="78">
        <f>D12*D24/1000</f>
        <v>0</v>
      </c>
      <c r="E30" s="78">
        <f t="shared" ref="E30:M30" si="14">E12*E24/1000</f>
        <v>0</v>
      </c>
      <c r="F30" s="78">
        <f t="shared" si="14"/>
        <v>41674.090372819774</v>
      </c>
      <c r="G30" s="78">
        <f t="shared" si="14"/>
        <v>83348.180745639547</v>
      </c>
      <c r="H30" s="78">
        <f t="shared" si="14"/>
        <v>83348.180745639547</v>
      </c>
      <c r="I30" s="78">
        <f t="shared" si="14"/>
        <v>83348.180745639547</v>
      </c>
      <c r="J30" s="78">
        <f t="shared" si="14"/>
        <v>83348.180745639547</v>
      </c>
      <c r="K30" s="78">
        <f t="shared" si="14"/>
        <v>83348.180745639547</v>
      </c>
      <c r="L30" s="78">
        <f t="shared" si="14"/>
        <v>83348.180745639547</v>
      </c>
      <c r="M30" s="78">
        <f t="shared" si="14"/>
        <v>83348.180745639547</v>
      </c>
    </row>
    <row r="31" spans="1:13">
      <c r="A31" s="33">
        <f t="shared" si="11"/>
        <v>4</v>
      </c>
      <c r="B31" s="33" t="str">
        <f t="shared" si="11"/>
        <v>Цитрогипс_сухой</v>
      </c>
      <c r="C31" s="33"/>
      <c r="D31" s="78">
        <f>D13*D25/1000</f>
        <v>0</v>
      </c>
      <c r="E31" s="78">
        <f t="shared" ref="E31:M31" si="15">E13*E25/1000</f>
        <v>0</v>
      </c>
      <c r="F31" s="78">
        <f t="shared" si="15"/>
        <v>18000</v>
      </c>
      <c r="G31" s="78">
        <f t="shared" si="15"/>
        <v>36000</v>
      </c>
      <c r="H31" s="78">
        <f t="shared" si="15"/>
        <v>36000</v>
      </c>
      <c r="I31" s="78">
        <f t="shared" si="15"/>
        <v>36000</v>
      </c>
      <c r="J31" s="78">
        <f t="shared" si="15"/>
        <v>36000</v>
      </c>
      <c r="K31" s="78">
        <f t="shared" si="15"/>
        <v>36000</v>
      </c>
      <c r="L31" s="78">
        <f t="shared" si="15"/>
        <v>36000</v>
      </c>
      <c r="M31" s="78">
        <f t="shared" si="15"/>
        <v>36000</v>
      </c>
    </row>
    <row r="32" spans="1:13">
      <c r="A32" s="33">
        <f>A26</f>
        <v>5</v>
      </c>
      <c r="B32" s="33" t="s">
        <v>592</v>
      </c>
      <c r="C32" s="33"/>
      <c r="D32" s="78">
        <f>D14*D26/1000</f>
        <v>0</v>
      </c>
      <c r="E32" s="78">
        <f t="shared" ref="E32:M32" si="16">E14*E26/1000</f>
        <v>0</v>
      </c>
      <c r="F32" s="78">
        <f t="shared" si="16"/>
        <v>0</v>
      </c>
      <c r="G32" s="78">
        <f t="shared" si="16"/>
        <v>0</v>
      </c>
      <c r="H32" s="78">
        <f t="shared" si="16"/>
        <v>0</v>
      </c>
      <c r="I32" s="78">
        <f t="shared" si="16"/>
        <v>0</v>
      </c>
      <c r="J32" s="78">
        <f t="shared" si="16"/>
        <v>0</v>
      </c>
      <c r="K32" s="78">
        <f t="shared" si="16"/>
        <v>0</v>
      </c>
      <c r="L32" s="78">
        <f t="shared" si="16"/>
        <v>0</v>
      </c>
      <c r="M32" s="78">
        <f t="shared" si="16"/>
        <v>0</v>
      </c>
    </row>
    <row r="33" spans="1:13">
      <c r="A33" s="33"/>
      <c r="B33" s="82" t="s">
        <v>3</v>
      </c>
      <c r="C33" s="82"/>
      <c r="D33" s="81">
        <f>SUM(D28:D32)</f>
        <v>0</v>
      </c>
      <c r="E33" s="81">
        <f t="shared" ref="E33:M33" si="17">SUM(E28:E32)</f>
        <v>0</v>
      </c>
      <c r="F33" s="81">
        <f t="shared" si="17"/>
        <v>1549415.2887476301</v>
      </c>
      <c r="G33" s="81">
        <f t="shared" si="17"/>
        <v>3098830.5774952602</v>
      </c>
      <c r="H33" s="81">
        <f t="shared" si="17"/>
        <v>3098830.5774952602</v>
      </c>
      <c r="I33" s="81">
        <f t="shared" si="17"/>
        <v>3098830.5774952602</v>
      </c>
      <c r="J33" s="81">
        <f t="shared" si="17"/>
        <v>3098830.5774952602</v>
      </c>
      <c r="K33" s="81">
        <f t="shared" si="17"/>
        <v>3098830.5774952602</v>
      </c>
      <c r="L33" s="81">
        <f t="shared" si="17"/>
        <v>3098830.5774952602</v>
      </c>
      <c r="M33" s="81">
        <f t="shared" si="17"/>
        <v>3098830.5774952602</v>
      </c>
    </row>
    <row r="34" spans="1:13" ht="22.5" customHeight="1">
      <c r="A34" s="107"/>
      <c r="B34" s="108" t="s">
        <v>285</v>
      </c>
      <c r="C34" s="193"/>
      <c r="D34" s="109"/>
      <c r="E34" s="109"/>
      <c r="F34" s="109"/>
      <c r="G34" s="109"/>
      <c r="H34" s="109"/>
      <c r="I34" s="109"/>
      <c r="J34" s="109"/>
      <c r="K34" s="109"/>
      <c r="L34" s="109"/>
      <c r="M34" s="109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8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9"/>
  <sheetViews>
    <sheetView zoomScale="120" zoomScaleNormal="120" workbookViewId="0">
      <selection sqref="A1:G6"/>
    </sheetView>
  </sheetViews>
  <sheetFormatPr baseColWidth="10" defaultColWidth="9.1640625" defaultRowHeight="15"/>
  <cols>
    <col min="1" max="1" width="4.1640625" style="3" bestFit="1" customWidth="1"/>
    <col min="2" max="2" width="25.6640625" style="3" bestFit="1" customWidth="1"/>
    <col min="3" max="3" width="8.33203125" style="3" bestFit="1" customWidth="1"/>
    <col min="4" max="4" width="8.1640625" style="3" customWidth="1"/>
    <col min="5" max="5" width="8.5" style="3" bestFit="1" customWidth="1"/>
    <col min="6" max="6" width="13.83203125" style="3" bestFit="1" customWidth="1"/>
    <col min="7" max="7" width="16.33203125" style="3" customWidth="1"/>
    <col min="8" max="16384" width="9.1640625" style="3"/>
  </cols>
  <sheetData>
    <row r="1" spans="1:7" ht="23.25" customHeight="1">
      <c r="A1" s="813" t="s">
        <v>1219</v>
      </c>
      <c r="B1" s="813"/>
      <c r="C1" s="813"/>
      <c r="D1" s="813"/>
      <c r="E1" s="813"/>
      <c r="F1" s="65"/>
      <c r="G1" s="3" t="s">
        <v>675</v>
      </c>
    </row>
    <row r="2" spans="1:7" ht="32">
      <c r="A2" s="57" t="s">
        <v>18</v>
      </c>
      <c r="B2" s="58" t="s">
        <v>77</v>
      </c>
      <c r="C2" s="57" t="s">
        <v>99</v>
      </c>
      <c r="D2" s="57" t="s">
        <v>87</v>
      </c>
      <c r="E2" s="57" t="s">
        <v>78</v>
      </c>
      <c r="F2" s="57" t="s">
        <v>88</v>
      </c>
      <c r="G2" s="57" t="s">
        <v>94</v>
      </c>
    </row>
    <row r="3" spans="1:7" ht="16">
      <c r="A3" s="30">
        <v>1</v>
      </c>
      <c r="B3" s="31" t="str">
        <f>'6_МБ_ЛК_Ку-за'!A11</f>
        <v>ЛК</v>
      </c>
      <c r="C3" s="30" t="s">
        <v>100</v>
      </c>
      <c r="D3" s="30" t="s">
        <v>79</v>
      </c>
      <c r="E3" s="30" t="s">
        <v>854</v>
      </c>
      <c r="F3" s="32">
        <f>'8-1_ЛК'!V4</f>
        <v>1194.3333333333333</v>
      </c>
      <c r="G3" s="32">
        <f>'8-1_ЛК'!F8</f>
        <v>143565.70192999998</v>
      </c>
    </row>
    <row r="4" spans="1:7" ht="32">
      <c r="A4" s="30">
        <v>2</v>
      </c>
      <c r="B4" s="31" t="str">
        <f>'6_МБ_ЛК_Ку-за'!A12</f>
        <v>Сухой кукурузный корм (гликопротеин)</v>
      </c>
      <c r="C4" s="30" t="s">
        <v>100</v>
      </c>
      <c r="D4" s="30" t="s">
        <v>79</v>
      </c>
      <c r="E4" s="30" t="s">
        <v>392</v>
      </c>
      <c r="F4" s="32">
        <f>'11_Цены_СиМ'!F3</f>
        <v>13521.685000000001</v>
      </c>
      <c r="G4" s="32">
        <f>IF(E4="EUR",F4*$D$8,F4)</f>
        <v>13521.685000000001</v>
      </c>
    </row>
    <row r="5" spans="1:7" ht="16">
      <c r="A5" s="30">
        <v>3</v>
      </c>
      <c r="B5" s="31" t="str">
        <f>'6_МБ_ЛК_Ку-за'!A13</f>
        <v>Корм (мицелиальный белок)</v>
      </c>
      <c r="C5" s="30" t="s">
        <v>100</v>
      </c>
      <c r="D5" s="30" t="s">
        <v>79</v>
      </c>
      <c r="E5" s="30" t="s">
        <v>392</v>
      </c>
      <c r="F5" s="32">
        <f>F4+5000</f>
        <v>18521.685000000001</v>
      </c>
      <c r="G5" s="32">
        <f>IF(E5="EUR",F5*$D$8,F5)</f>
        <v>18521.685000000001</v>
      </c>
    </row>
    <row r="6" spans="1:7" ht="16">
      <c r="A6" s="30">
        <v>4</v>
      </c>
      <c r="B6" s="31" t="str">
        <f>'6_МБ_ЛК_Ку-за'!A15</f>
        <v>Цитрогипс_сухой</v>
      </c>
      <c r="C6" s="30" t="s">
        <v>100</v>
      </c>
      <c r="D6" s="30" t="s">
        <v>79</v>
      </c>
      <c r="E6" s="30" t="s">
        <v>392</v>
      </c>
      <c r="F6" s="32">
        <v>2000</v>
      </c>
      <c r="G6" s="32">
        <f>IF(E6="EUR",F6*$D$8,F6)</f>
        <v>2000</v>
      </c>
    </row>
    <row r="8" spans="1:7" ht="16">
      <c r="B8" s="363" t="s">
        <v>98</v>
      </c>
      <c r="C8" s="363"/>
      <c r="D8" s="364">
        <f>'0_Допущения'!C12</f>
        <v>102.0271</v>
      </c>
    </row>
    <row r="9" spans="1:7" ht="16">
      <c r="B9" s="363" t="s">
        <v>561</v>
      </c>
      <c r="D9" s="364">
        <f>'0_Допущения'!C13</f>
        <v>90.690600000000003</v>
      </c>
    </row>
  </sheetData>
  <mergeCells count="1">
    <mergeCell ref="A1:E1"/>
  </mergeCells>
  <pageMargins left="0.7" right="0.7" top="0.75" bottom="0.75" header="0.3" footer="0.3"/>
  <pageSetup paperSize="9" orientation="landscape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2C236-E181-794C-B520-5036F72A19AD}">
  <dimension ref="A1:V10"/>
  <sheetViews>
    <sheetView zoomScale="130" zoomScaleNormal="130" workbookViewId="0">
      <selection activeCell="B14" sqref="B14"/>
    </sheetView>
  </sheetViews>
  <sheetFormatPr baseColWidth="10" defaultRowHeight="15"/>
  <cols>
    <col min="1" max="1" width="19.6640625" style="6" customWidth="1"/>
    <col min="2" max="2" width="7" style="6" customWidth="1"/>
    <col min="3" max="3" width="4.83203125" style="6" customWidth="1"/>
    <col min="4" max="4" width="9.6640625" style="6" bestFit="1" customWidth="1"/>
    <col min="5" max="5" width="8" style="6" bestFit="1" customWidth="1"/>
    <col min="6" max="6" width="7.33203125" style="6" bestFit="1" customWidth="1"/>
    <col min="7" max="8" width="7.6640625" style="3" bestFit="1" customWidth="1"/>
    <col min="9" max="9" width="5.83203125" style="3" bestFit="1" customWidth="1"/>
    <col min="10" max="10" width="6.83203125" style="3" bestFit="1" customWidth="1"/>
    <col min="11" max="11" width="6" style="3" bestFit="1" customWidth="1"/>
    <col min="12" max="12" width="7.33203125" style="3" bestFit="1" customWidth="1"/>
    <col min="13" max="13" width="6.33203125" style="3" bestFit="1" customWidth="1"/>
    <col min="14" max="14" width="6.1640625" style="3" bestFit="1" customWidth="1"/>
    <col min="15" max="15" width="7.33203125" style="3" bestFit="1" customWidth="1"/>
    <col min="16" max="16" width="6.33203125" style="3" bestFit="1" customWidth="1"/>
    <col min="17" max="17" width="7.6640625" style="3" bestFit="1" customWidth="1"/>
    <col min="18" max="18" width="5.1640625" style="3" bestFit="1" customWidth="1"/>
    <col min="19" max="20" width="5.5" style="3" bestFit="1" customWidth="1"/>
    <col min="21" max="21" width="5.1640625" style="3" bestFit="1" customWidth="1"/>
    <col min="22" max="16384" width="10.83203125" style="3"/>
  </cols>
  <sheetData>
    <row r="1" spans="1:22" ht="19" customHeight="1" thickBot="1">
      <c r="A1" s="795" t="s">
        <v>685</v>
      </c>
      <c r="B1" s="795"/>
      <c r="C1" s="795"/>
      <c r="D1" s="795"/>
      <c r="E1" s="795"/>
      <c r="F1" s="795"/>
      <c r="G1" s="795"/>
      <c r="H1" s="795"/>
      <c r="I1" s="795"/>
      <c r="J1" s="795"/>
      <c r="K1" s="795"/>
      <c r="L1" s="795"/>
      <c r="M1" s="795"/>
      <c r="R1" s="814" t="s">
        <v>691</v>
      </c>
      <c r="S1" s="814"/>
      <c r="T1" s="814"/>
      <c r="U1" s="814"/>
    </row>
    <row r="2" spans="1:22" ht="32">
      <c r="A2" s="31" t="s">
        <v>686</v>
      </c>
      <c r="B2" s="30" t="s">
        <v>1</v>
      </c>
      <c r="C2" s="30">
        <v>2020</v>
      </c>
      <c r="D2" s="31" t="s">
        <v>689</v>
      </c>
      <c r="E2" s="470">
        <v>44409</v>
      </c>
      <c r="F2" s="470">
        <v>44501</v>
      </c>
      <c r="G2" s="469">
        <v>44713</v>
      </c>
      <c r="H2" s="469">
        <v>44743</v>
      </c>
      <c r="I2" s="469">
        <v>44774</v>
      </c>
      <c r="J2" s="469">
        <v>44805</v>
      </c>
      <c r="K2" s="469">
        <v>44835</v>
      </c>
      <c r="L2" s="469">
        <v>44866</v>
      </c>
      <c r="M2" s="469">
        <v>44896</v>
      </c>
      <c r="N2" s="469">
        <v>44927</v>
      </c>
      <c r="O2" s="469">
        <v>44986</v>
      </c>
      <c r="P2" s="469">
        <v>45017</v>
      </c>
      <c r="Q2" s="723">
        <v>45078</v>
      </c>
      <c r="R2" s="725">
        <v>2020</v>
      </c>
      <c r="S2" s="634">
        <v>2021</v>
      </c>
      <c r="T2" s="634">
        <v>2022</v>
      </c>
      <c r="U2" s="726">
        <v>2023</v>
      </c>
      <c r="V2" s="471" t="s">
        <v>1220</v>
      </c>
    </row>
    <row r="3" spans="1:22" ht="16">
      <c r="A3" s="31" t="s">
        <v>687</v>
      </c>
      <c r="B3" s="30" t="s">
        <v>660</v>
      </c>
      <c r="C3" s="30" t="s">
        <v>690</v>
      </c>
      <c r="D3" s="30" t="s">
        <v>690</v>
      </c>
      <c r="E3" s="32">
        <v>1375</v>
      </c>
      <c r="F3" s="32">
        <v>2250</v>
      </c>
      <c r="G3" s="32">
        <v>2350</v>
      </c>
      <c r="H3" s="32">
        <v>1850</v>
      </c>
      <c r="I3" s="32">
        <v>1100</v>
      </c>
      <c r="J3" s="32">
        <v>920</v>
      </c>
      <c r="K3" s="32">
        <v>900</v>
      </c>
      <c r="L3" s="32">
        <v>850</v>
      </c>
      <c r="M3" s="32">
        <v>850</v>
      </c>
      <c r="N3" s="32">
        <v>880</v>
      </c>
      <c r="O3" s="32">
        <v>1050</v>
      </c>
      <c r="P3" s="32">
        <v>850</v>
      </c>
      <c r="Q3" s="724">
        <v>750</v>
      </c>
      <c r="R3" s="727"/>
      <c r="S3" s="431"/>
      <c r="T3" s="431"/>
      <c r="U3" s="728"/>
      <c r="V3" s="472"/>
    </row>
    <row r="4" spans="1:22" ht="17" thickBot="1">
      <c r="A4" s="31" t="s">
        <v>688</v>
      </c>
      <c r="B4" s="30" t="s">
        <v>660</v>
      </c>
      <c r="C4" s="30">
        <v>606</v>
      </c>
      <c r="D4" s="32">
        <v>868</v>
      </c>
      <c r="E4" s="32">
        <v>1280</v>
      </c>
      <c r="F4" s="32">
        <v>2100</v>
      </c>
      <c r="G4" s="32">
        <v>2000</v>
      </c>
      <c r="H4" s="32">
        <v>1550</v>
      </c>
      <c r="I4" s="32">
        <v>1000</v>
      </c>
      <c r="J4" s="32">
        <v>820</v>
      </c>
      <c r="K4" s="32">
        <v>800</v>
      </c>
      <c r="L4" s="32">
        <v>750</v>
      </c>
      <c r="M4" s="32">
        <v>750</v>
      </c>
      <c r="N4" s="32">
        <v>780</v>
      </c>
      <c r="O4" s="32">
        <v>950</v>
      </c>
      <c r="P4" s="32">
        <v>780</v>
      </c>
      <c r="Q4" s="724">
        <v>680</v>
      </c>
      <c r="R4" s="729">
        <f>C4</f>
        <v>606</v>
      </c>
      <c r="S4" s="730">
        <f>(D4*7+E4+F4*4)/12</f>
        <v>1313</v>
      </c>
      <c r="T4" s="730">
        <f>(G4*6+H4+I4+J4+K4+L4+M4)/12</f>
        <v>1472.5</v>
      </c>
      <c r="U4" s="731">
        <f>AVERAGE(N4:Q4)</f>
        <v>797.5</v>
      </c>
      <c r="V4" s="473">
        <f>AVERAGE(S4:U4)</f>
        <v>1194.3333333333333</v>
      </c>
    </row>
    <row r="6" spans="1:22" ht="16">
      <c r="A6" s="734" t="s">
        <v>1151</v>
      </c>
      <c r="B6" s="634" t="s">
        <v>1154</v>
      </c>
      <c r="C6" s="634" t="s">
        <v>1152</v>
      </c>
      <c r="D6" s="634" t="s">
        <v>136</v>
      </c>
      <c r="E6" s="634" t="s">
        <v>1153</v>
      </c>
      <c r="F6" s="420" t="s">
        <v>3</v>
      </c>
    </row>
    <row r="7" spans="1:22" ht="16">
      <c r="A7" s="31" t="s">
        <v>1167</v>
      </c>
      <c r="B7" s="32">
        <f>Q4*B10</f>
        <v>61669.608</v>
      </c>
      <c r="C7" s="32">
        <f>'20_Tax'!C11*1000*'0_Допущения'!C12</f>
        <v>5101.3550000000005</v>
      </c>
      <c r="D7" s="32">
        <f>6000*B10/22</f>
        <v>24733.8</v>
      </c>
      <c r="E7" s="32">
        <f>5%*V4*B10</f>
        <v>5415.7403300000005</v>
      </c>
      <c r="F7" s="397">
        <f>B7+C7+D7+E7</f>
        <v>96920.503330000007</v>
      </c>
    </row>
    <row r="8" spans="1:22" ht="32">
      <c r="A8" s="31" t="s">
        <v>1243</v>
      </c>
      <c r="B8" s="32">
        <f>V4*B10</f>
        <v>108314.8066</v>
      </c>
      <c r="C8" s="32">
        <f>C7</f>
        <v>5101.3550000000005</v>
      </c>
      <c r="D8" s="32">
        <f>D7</f>
        <v>24733.8</v>
      </c>
      <c r="E8" s="32">
        <f>E7</f>
        <v>5415.7403300000005</v>
      </c>
      <c r="F8" s="397">
        <f>B8+C8+D8+E8</f>
        <v>143565.70192999998</v>
      </c>
    </row>
    <row r="9" spans="1:22" ht="16">
      <c r="A9" s="6" t="str">
        <f>'0_Допущения'!A12</f>
        <v>Курс Евро</v>
      </c>
      <c r="B9" s="732">
        <f>'0_Допущения'!C12</f>
        <v>102.0271</v>
      </c>
    </row>
    <row r="10" spans="1:22" ht="16">
      <c r="A10" s="6" t="str">
        <f>'0_Допущения'!A13</f>
        <v>Курс USD</v>
      </c>
      <c r="B10" s="732">
        <f>'0_Допущения'!C13</f>
        <v>90.690600000000003</v>
      </c>
    </row>
  </sheetData>
  <mergeCells count="2">
    <mergeCell ref="A1:M1"/>
    <mergeCell ref="R1:U1"/>
  </mergeCells>
  <pageMargins left="0.7" right="0.7" top="0.75" bottom="0.75" header="0.3" footer="0.3"/>
  <pageSetup paperSize="9" orientation="landscape" horizontalDpi="0" verticalDpi="0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M20"/>
  <sheetViews>
    <sheetView zoomScale="130" zoomScaleNormal="130" workbookViewId="0">
      <selection activeCell="F15" sqref="F15"/>
    </sheetView>
  </sheetViews>
  <sheetFormatPr baseColWidth="10" defaultColWidth="9.1640625" defaultRowHeight="16"/>
  <cols>
    <col min="1" max="1" width="31.83203125" style="35" bestFit="1" customWidth="1"/>
    <col min="2" max="2" width="8.1640625" style="35" bestFit="1" customWidth="1"/>
    <col min="3" max="3" width="11.33203125" style="35" bestFit="1" customWidth="1"/>
    <col min="4" max="4" width="9" style="35" bestFit="1" customWidth="1"/>
    <col min="5" max="5" width="8.83203125" style="35" bestFit="1" customWidth="1"/>
    <col min="6" max="6" width="9" style="35" bestFit="1" customWidth="1"/>
    <col min="7" max="7" width="7.5" style="35" bestFit="1" customWidth="1"/>
    <col min="8" max="8" width="7.83203125" style="35" bestFit="1" customWidth="1"/>
    <col min="9" max="9" width="8.1640625" style="35" bestFit="1" customWidth="1"/>
    <col min="10" max="10" width="8" style="35" bestFit="1" customWidth="1"/>
    <col min="11" max="11" width="7" style="35" bestFit="1" customWidth="1"/>
    <col min="12" max="12" width="6.83203125" style="35" bestFit="1" customWidth="1"/>
    <col min="13" max="13" width="7.1640625" style="35" bestFit="1" customWidth="1"/>
    <col min="14" max="16384" width="9.1640625" style="35"/>
  </cols>
  <sheetData>
    <row r="1" spans="1:13" ht="25" customHeight="1">
      <c r="A1" s="817" t="s">
        <v>550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435" t="s">
        <v>289</v>
      </c>
      <c r="M1" s="436">
        <v>9</v>
      </c>
    </row>
    <row r="2" spans="1:13" ht="34">
      <c r="A2" s="74" t="s">
        <v>0</v>
      </c>
      <c r="B2" s="340" t="s">
        <v>1</v>
      </c>
      <c r="C2" s="340" t="s">
        <v>544</v>
      </c>
      <c r="D2" s="341">
        <v>2024</v>
      </c>
      <c r="E2" s="341">
        <v>2025</v>
      </c>
      <c r="F2" s="341">
        <v>2026</v>
      </c>
      <c r="G2" s="341">
        <v>2027</v>
      </c>
      <c r="H2" s="341">
        <v>2028</v>
      </c>
      <c r="I2" s="341">
        <v>2029</v>
      </c>
      <c r="J2" s="341">
        <v>2030</v>
      </c>
      <c r="K2" s="341">
        <v>2031</v>
      </c>
      <c r="L2" s="341">
        <v>2032</v>
      </c>
      <c r="M2" s="341">
        <v>2033</v>
      </c>
    </row>
    <row r="3" spans="1:13" ht="17">
      <c r="A3" s="818" t="s">
        <v>1132</v>
      </c>
      <c r="B3" s="342" t="s">
        <v>28</v>
      </c>
      <c r="C3" s="345">
        <v>1</v>
      </c>
      <c r="D3" s="350">
        <v>0</v>
      </c>
      <c r="E3" s="350">
        <v>0</v>
      </c>
      <c r="F3" s="350">
        <v>0.5</v>
      </c>
      <c r="G3" s="350">
        <v>1</v>
      </c>
      <c r="H3" s="351">
        <v>1</v>
      </c>
      <c r="I3" s="351">
        <v>1</v>
      </c>
      <c r="J3" s="351">
        <v>1</v>
      </c>
      <c r="K3" s="351">
        <v>1</v>
      </c>
      <c r="L3" s="351">
        <v>1</v>
      </c>
      <c r="M3" s="351">
        <v>1</v>
      </c>
    </row>
    <row r="4" spans="1:13" ht="17">
      <c r="A4" s="819" t="s">
        <v>547</v>
      </c>
      <c r="B4" s="342" t="s">
        <v>79</v>
      </c>
      <c r="C4" s="346">
        <f>'6_МБ_ЛК_Ку-за'!C11</f>
        <v>20000</v>
      </c>
      <c r="D4" s="72">
        <f>D3*$C$4</f>
        <v>0</v>
      </c>
      <c r="E4" s="72">
        <f t="shared" ref="E4:M4" si="0">E3*$C$4</f>
        <v>0</v>
      </c>
      <c r="F4" s="72">
        <f t="shared" si="0"/>
        <v>10000</v>
      </c>
      <c r="G4" s="72">
        <f t="shared" si="0"/>
        <v>20000</v>
      </c>
      <c r="H4" s="72">
        <f t="shared" si="0"/>
        <v>20000</v>
      </c>
      <c r="I4" s="72">
        <f t="shared" si="0"/>
        <v>20000</v>
      </c>
      <c r="J4" s="72">
        <f t="shared" si="0"/>
        <v>20000</v>
      </c>
      <c r="K4" s="72">
        <f t="shared" si="0"/>
        <v>20000</v>
      </c>
      <c r="L4" s="72">
        <f t="shared" si="0"/>
        <v>20000</v>
      </c>
      <c r="M4" s="72">
        <f t="shared" si="0"/>
        <v>20000</v>
      </c>
    </row>
    <row r="5" spans="1:13" ht="17">
      <c r="A5" s="818" t="s">
        <v>1133</v>
      </c>
      <c r="B5" s="343" t="s">
        <v>28</v>
      </c>
      <c r="C5" s="345"/>
      <c r="D5" s="350">
        <v>0</v>
      </c>
      <c r="E5" s="350">
        <v>0</v>
      </c>
      <c r="F5" s="350">
        <v>1</v>
      </c>
      <c r="G5" s="350">
        <v>1</v>
      </c>
      <c r="H5" s="350">
        <v>1</v>
      </c>
      <c r="I5" s="350">
        <v>1</v>
      </c>
      <c r="J5" s="350">
        <v>1</v>
      </c>
      <c r="K5" s="350">
        <v>1</v>
      </c>
      <c r="L5" s="350">
        <v>1</v>
      </c>
      <c r="M5" s="350">
        <v>1</v>
      </c>
    </row>
    <row r="6" spans="1:13" ht="17">
      <c r="A6" s="819" t="s">
        <v>545</v>
      </c>
      <c r="B6" s="343" t="s">
        <v>79</v>
      </c>
      <c r="C6" s="345"/>
      <c r="D6" s="72">
        <f>D4*D5</f>
        <v>0</v>
      </c>
      <c r="E6" s="72">
        <f t="shared" ref="E6:M6" si="1">E4*E5</f>
        <v>0</v>
      </c>
      <c r="F6" s="72">
        <f t="shared" si="1"/>
        <v>10000</v>
      </c>
      <c r="G6" s="72">
        <f t="shared" si="1"/>
        <v>20000</v>
      </c>
      <c r="H6" s="72">
        <f t="shared" si="1"/>
        <v>20000</v>
      </c>
      <c r="I6" s="72">
        <f t="shared" si="1"/>
        <v>20000</v>
      </c>
      <c r="J6" s="72">
        <f t="shared" si="1"/>
        <v>20000</v>
      </c>
      <c r="K6" s="72">
        <f t="shared" si="1"/>
        <v>20000</v>
      </c>
      <c r="L6" s="72">
        <f t="shared" si="1"/>
        <v>20000</v>
      </c>
      <c r="M6" s="72">
        <f t="shared" si="1"/>
        <v>20000</v>
      </c>
    </row>
    <row r="7" spans="1:13" ht="17">
      <c r="A7" s="339" t="s">
        <v>1134</v>
      </c>
      <c r="B7" s="342" t="s">
        <v>79</v>
      </c>
      <c r="C7" s="346"/>
      <c r="D7" s="72">
        <f>D4-D6</f>
        <v>0</v>
      </c>
      <c r="E7" s="72">
        <f>D7+E4-E6</f>
        <v>0</v>
      </c>
      <c r="F7" s="72">
        <f t="shared" ref="F7:M7" si="2">E7+F4-F6</f>
        <v>0</v>
      </c>
      <c r="G7" s="72">
        <f t="shared" si="2"/>
        <v>0</v>
      </c>
      <c r="H7" s="72">
        <f t="shared" si="2"/>
        <v>0</v>
      </c>
      <c r="I7" s="72">
        <f t="shared" si="2"/>
        <v>0</v>
      </c>
      <c r="J7" s="72">
        <f t="shared" si="2"/>
        <v>0</v>
      </c>
      <c r="K7" s="72">
        <f t="shared" si="2"/>
        <v>0</v>
      </c>
      <c r="L7" s="72">
        <f t="shared" si="2"/>
        <v>0</v>
      </c>
      <c r="M7" s="72">
        <f t="shared" si="2"/>
        <v>0</v>
      </c>
    </row>
    <row r="8" spans="1:13" ht="17">
      <c r="A8" s="818" t="s">
        <v>1135</v>
      </c>
      <c r="B8" s="342" t="s">
        <v>28</v>
      </c>
      <c r="C8" s="345">
        <v>1</v>
      </c>
      <c r="D8" s="350">
        <f>D3</f>
        <v>0</v>
      </c>
      <c r="E8" s="350">
        <f t="shared" ref="E8:M8" si="3">E3</f>
        <v>0</v>
      </c>
      <c r="F8" s="350">
        <f t="shared" si="3"/>
        <v>0.5</v>
      </c>
      <c r="G8" s="350">
        <f t="shared" si="3"/>
        <v>1</v>
      </c>
      <c r="H8" s="350">
        <f t="shared" si="3"/>
        <v>1</v>
      </c>
      <c r="I8" s="350">
        <f t="shared" si="3"/>
        <v>1</v>
      </c>
      <c r="J8" s="350">
        <f t="shared" si="3"/>
        <v>1</v>
      </c>
      <c r="K8" s="350">
        <f t="shared" si="3"/>
        <v>1</v>
      </c>
      <c r="L8" s="350">
        <f t="shared" si="3"/>
        <v>1</v>
      </c>
      <c r="M8" s="350">
        <f t="shared" si="3"/>
        <v>1</v>
      </c>
    </row>
    <row r="9" spans="1:13" ht="17">
      <c r="A9" s="819" t="s">
        <v>548</v>
      </c>
      <c r="B9" s="342" t="s">
        <v>79</v>
      </c>
      <c r="C9" s="346">
        <f>'6_МБ_ЛК_Ку-за'!C12</f>
        <v>7999.6212121212138</v>
      </c>
      <c r="D9" s="72">
        <f>D8*$C$9</f>
        <v>0</v>
      </c>
      <c r="E9" s="72">
        <f t="shared" ref="E9:M9" si="4">E8*$C$9</f>
        <v>0</v>
      </c>
      <c r="F9" s="72">
        <f t="shared" si="4"/>
        <v>3999.8106060606069</v>
      </c>
      <c r="G9" s="72">
        <f t="shared" si="4"/>
        <v>7999.6212121212138</v>
      </c>
      <c r="H9" s="72">
        <f t="shared" si="4"/>
        <v>7999.6212121212138</v>
      </c>
      <c r="I9" s="72">
        <f t="shared" si="4"/>
        <v>7999.6212121212138</v>
      </c>
      <c r="J9" s="72">
        <f t="shared" si="4"/>
        <v>7999.6212121212138</v>
      </c>
      <c r="K9" s="72">
        <f t="shared" si="4"/>
        <v>7999.6212121212138</v>
      </c>
      <c r="L9" s="72">
        <f t="shared" si="4"/>
        <v>7999.6212121212138</v>
      </c>
      <c r="M9" s="72">
        <f t="shared" si="4"/>
        <v>7999.6212121212138</v>
      </c>
    </row>
    <row r="10" spans="1:13" ht="17">
      <c r="A10" s="818" t="s">
        <v>1136</v>
      </c>
      <c r="B10" s="344" t="s">
        <v>28</v>
      </c>
      <c r="C10" s="347"/>
      <c r="D10" s="350">
        <f>D5</f>
        <v>0</v>
      </c>
      <c r="E10" s="350">
        <f t="shared" ref="E10:M10" si="5">E5</f>
        <v>0</v>
      </c>
      <c r="F10" s="350">
        <f t="shared" si="5"/>
        <v>1</v>
      </c>
      <c r="G10" s="350">
        <f t="shared" si="5"/>
        <v>1</v>
      </c>
      <c r="H10" s="350">
        <f t="shared" si="5"/>
        <v>1</v>
      </c>
      <c r="I10" s="350">
        <f t="shared" si="5"/>
        <v>1</v>
      </c>
      <c r="J10" s="350">
        <f t="shared" si="5"/>
        <v>1</v>
      </c>
      <c r="K10" s="350">
        <f t="shared" si="5"/>
        <v>1</v>
      </c>
      <c r="L10" s="350">
        <f t="shared" si="5"/>
        <v>1</v>
      </c>
      <c r="M10" s="350">
        <f t="shared" si="5"/>
        <v>1</v>
      </c>
    </row>
    <row r="11" spans="1:13" ht="17">
      <c r="A11" s="819" t="s">
        <v>546</v>
      </c>
      <c r="B11" s="344" t="s">
        <v>79</v>
      </c>
      <c r="C11" s="349"/>
      <c r="D11" s="72">
        <f>D9*D10</f>
        <v>0</v>
      </c>
      <c r="E11" s="72">
        <f t="shared" ref="E11:M11" si="6">E9*E10</f>
        <v>0</v>
      </c>
      <c r="F11" s="72">
        <f t="shared" si="6"/>
        <v>3999.8106060606069</v>
      </c>
      <c r="G11" s="72">
        <f t="shared" si="6"/>
        <v>7999.6212121212138</v>
      </c>
      <c r="H11" s="72">
        <f t="shared" si="6"/>
        <v>7999.6212121212138</v>
      </c>
      <c r="I11" s="72">
        <f t="shared" si="6"/>
        <v>7999.6212121212138</v>
      </c>
      <c r="J11" s="72">
        <f t="shared" si="6"/>
        <v>7999.6212121212138</v>
      </c>
      <c r="K11" s="72">
        <f t="shared" si="6"/>
        <v>7999.6212121212138</v>
      </c>
      <c r="L11" s="72">
        <f t="shared" si="6"/>
        <v>7999.6212121212138</v>
      </c>
      <c r="M11" s="72">
        <f t="shared" si="6"/>
        <v>7999.6212121212138</v>
      </c>
    </row>
    <row r="12" spans="1:13" ht="17">
      <c r="A12" s="339" t="s">
        <v>1137</v>
      </c>
      <c r="B12" s="344" t="s">
        <v>79</v>
      </c>
      <c r="C12" s="348"/>
      <c r="D12" s="72">
        <f>D9-D11</f>
        <v>0</v>
      </c>
      <c r="E12" s="72">
        <f t="shared" ref="E12:M12" si="7">D12+E9-E11</f>
        <v>0</v>
      </c>
      <c r="F12" s="72">
        <f t="shared" si="7"/>
        <v>0</v>
      </c>
      <c r="G12" s="72">
        <f t="shared" si="7"/>
        <v>0</v>
      </c>
      <c r="H12" s="72">
        <f t="shared" si="7"/>
        <v>0</v>
      </c>
      <c r="I12" s="72">
        <f t="shared" si="7"/>
        <v>0</v>
      </c>
      <c r="J12" s="72">
        <f t="shared" si="7"/>
        <v>0</v>
      </c>
      <c r="K12" s="72">
        <f t="shared" si="7"/>
        <v>0</v>
      </c>
      <c r="L12" s="72">
        <f t="shared" si="7"/>
        <v>0</v>
      </c>
      <c r="M12" s="72">
        <f t="shared" si="7"/>
        <v>0</v>
      </c>
    </row>
    <row r="13" spans="1:13" ht="34" customHeight="1">
      <c r="A13" s="815" t="s">
        <v>1138</v>
      </c>
      <c r="B13" s="342" t="s">
        <v>28</v>
      </c>
      <c r="C13" s="73"/>
      <c r="D13" s="353">
        <f>D3</f>
        <v>0</v>
      </c>
      <c r="E13" s="353">
        <f t="shared" ref="E13:M13" si="8">E3</f>
        <v>0</v>
      </c>
      <c r="F13" s="353">
        <f t="shared" si="8"/>
        <v>0.5</v>
      </c>
      <c r="G13" s="353">
        <f t="shared" si="8"/>
        <v>1</v>
      </c>
      <c r="H13" s="353">
        <f t="shared" si="8"/>
        <v>1</v>
      </c>
      <c r="I13" s="353">
        <f t="shared" si="8"/>
        <v>1</v>
      </c>
      <c r="J13" s="353">
        <f t="shared" si="8"/>
        <v>1</v>
      </c>
      <c r="K13" s="353">
        <f t="shared" si="8"/>
        <v>1</v>
      </c>
      <c r="L13" s="353">
        <f t="shared" si="8"/>
        <v>1</v>
      </c>
      <c r="M13" s="353">
        <f t="shared" si="8"/>
        <v>1</v>
      </c>
    </row>
    <row r="14" spans="1:13" ht="34" customHeight="1">
      <c r="A14" s="815"/>
      <c r="B14" s="342" t="s">
        <v>79</v>
      </c>
      <c r="C14" s="346">
        <f>'6_МБ_ЛК_Ку-за'!C13</f>
        <v>4500.0322997416024</v>
      </c>
      <c r="D14" s="72">
        <f>D13*$C$14</f>
        <v>0</v>
      </c>
      <c r="E14" s="72">
        <f t="shared" ref="E14:M14" si="9">E13*$C$14</f>
        <v>0</v>
      </c>
      <c r="F14" s="72">
        <f t="shared" si="9"/>
        <v>2250.0161498708012</v>
      </c>
      <c r="G14" s="72">
        <f t="shared" si="9"/>
        <v>4500.0322997416024</v>
      </c>
      <c r="H14" s="72">
        <f t="shared" si="9"/>
        <v>4500.0322997416024</v>
      </c>
      <c r="I14" s="72">
        <f t="shared" si="9"/>
        <v>4500.0322997416024</v>
      </c>
      <c r="J14" s="72">
        <f t="shared" si="9"/>
        <v>4500.0322997416024</v>
      </c>
      <c r="K14" s="72">
        <f t="shared" si="9"/>
        <v>4500.0322997416024</v>
      </c>
      <c r="L14" s="72">
        <f t="shared" si="9"/>
        <v>4500.0322997416024</v>
      </c>
      <c r="M14" s="72">
        <f t="shared" si="9"/>
        <v>4500.0322997416024</v>
      </c>
    </row>
    <row r="15" spans="1:13" ht="17">
      <c r="A15" s="815" t="s">
        <v>1139</v>
      </c>
      <c r="B15" s="342" t="s">
        <v>28</v>
      </c>
      <c r="C15" s="73"/>
      <c r="D15" s="353">
        <f>D3</f>
        <v>0</v>
      </c>
      <c r="E15" s="353">
        <f t="shared" ref="E15:M15" si="10">E3</f>
        <v>0</v>
      </c>
      <c r="F15" s="353">
        <f t="shared" si="10"/>
        <v>0.5</v>
      </c>
      <c r="G15" s="353">
        <f t="shared" si="10"/>
        <v>1</v>
      </c>
      <c r="H15" s="353">
        <f t="shared" si="10"/>
        <v>1</v>
      </c>
      <c r="I15" s="353">
        <f t="shared" si="10"/>
        <v>1</v>
      </c>
      <c r="J15" s="353">
        <f t="shared" si="10"/>
        <v>1</v>
      </c>
      <c r="K15" s="353">
        <f t="shared" si="10"/>
        <v>1</v>
      </c>
      <c r="L15" s="353">
        <f t="shared" si="10"/>
        <v>1</v>
      </c>
      <c r="M15" s="353">
        <f t="shared" si="10"/>
        <v>1</v>
      </c>
    </row>
    <row r="16" spans="1:13" ht="17">
      <c r="A16" s="815" t="s">
        <v>549</v>
      </c>
      <c r="B16" s="352" t="s">
        <v>79</v>
      </c>
      <c r="C16" s="346">
        <f>'6_МБ_ЛК_Ку-за'!C15</f>
        <v>18000</v>
      </c>
      <c r="D16" s="72">
        <f>D15*$C$16</f>
        <v>0</v>
      </c>
      <c r="E16" s="72">
        <f t="shared" ref="E16:M16" si="11">E15*$C$16</f>
        <v>0</v>
      </c>
      <c r="F16" s="72">
        <f t="shared" si="11"/>
        <v>9000</v>
      </c>
      <c r="G16" s="72">
        <f t="shared" si="11"/>
        <v>18000</v>
      </c>
      <c r="H16" s="72">
        <f t="shared" si="11"/>
        <v>18000</v>
      </c>
      <c r="I16" s="72">
        <f t="shared" si="11"/>
        <v>18000</v>
      </c>
      <c r="J16" s="72">
        <f t="shared" si="11"/>
        <v>18000</v>
      </c>
      <c r="K16" s="72">
        <f t="shared" si="11"/>
        <v>18000</v>
      </c>
      <c r="L16" s="72">
        <f t="shared" si="11"/>
        <v>18000</v>
      </c>
      <c r="M16" s="72">
        <f t="shared" si="11"/>
        <v>18000</v>
      </c>
    </row>
    <row r="17" spans="1:13" ht="17">
      <c r="A17" s="815" t="s">
        <v>595</v>
      </c>
      <c r="B17" s="342" t="s">
        <v>28</v>
      </c>
      <c r="C17" s="73"/>
      <c r="D17" s="353">
        <f>D5</f>
        <v>0</v>
      </c>
      <c r="E17" s="353">
        <f>E5</f>
        <v>0</v>
      </c>
      <c r="F17" s="353">
        <f>F5</f>
        <v>1</v>
      </c>
      <c r="G17" s="353">
        <f>G3</f>
        <v>1</v>
      </c>
      <c r="H17" s="353">
        <f t="shared" ref="H17:M17" si="12">H3</f>
        <v>1</v>
      </c>
      <c r="I17" s="353">
        <f t="shared" si="12"/>
        <v>1</v>
      </c>
      <c r="J17" s="353">
        <f t="shared" si="12"/>
        <v>1</v>
      </c>
      <c r="K17" s="353">
        <f t="shared" si="12"/>
        <v>1</v>
      </c>
      <c r="L17" s="353">
        <f t="shared" si="12"/>
        <v>1</v>
      </c>
      <c r="M17" s="353">
        <f t="shared" si="12"/>
        <v>1</v>
      </c>
    </row>
    <row r="18" spans="1:13" ht="17">
      <c r="A18" s="815" t="s">
        <v>549</v>
      </c>
      <c r="B18" s="352" t="s">
        <v>79</v>
      </c>
      <c r="C18" s="346">
        <f>'6_МБ_ЛК_Ку-за'!C16*B19</f>
        <v>0</v>
      </c>
      <c r="D18" s="72">
        <f>D17*$C$18</f>
        <v>0</v>
      </c>
      <c r="E18" s="72">
        <f t="shared" ref="E18:M18" si="13">E17*$C$18</f>
        <v>0</v>
      </c>
      <c r="F18" s="72">
        <f t="shared" si="13"/>
        <v>0</v>
      </c>
      <c r="G18" s="72">
        <f t="shared" si="13"/>
        <v>0</v>
      </c>
      <c r="H18" s="72">
        <f t="shared" si="13"/>
        <v>0</v>
      </c>
      <c r="I18" s="72">
        <f t="shared" si="13"/>
        <v>0</v>
      </c>
      <c r="J18" s="72">
        <f t="shared" si="13"/>
        <v>0</v>
      </c>
      <c r="K18" s="72">
        <f t="shared" si="13"/>
        <v>0</v>
      </c>
      <c r="L18" s="72">
        <f t="shared" si="13"/>
        <v>0</v>
      </c>
      <c r="M18" s="72">
        <f t="shared" si="13"/>
        <v>0</v>
      </c>
    </row>
    <row r="19" spans="1:13">
      <c r="B19" s="399">
        <v>0.5</v>
      </c>
    </row>
    <row r="20" spans="1:13" ht="16" customHeight="1">
      <c r="A20" s="816" t="s">
        <v>596</v>
      </c>
      <c r="B20" s="816"/>
      <c r="C20" s="816"/>
      <c r="D20" s="816"/>
      <c r="E20" s="816"/>
      <c r="F20" s="816"/>
      <c r="G20" s="816"/>
      <c r="H20" s="816"/>
      <c r="I20" s="816"/>
      <c r="J20" s="816"/>
      <c r="K20" s="816"/>
      <c r="L20" s="816"/>
      <c r="M20" s="398"/>
    </row>
  </sheetData>
  <mergeCells count="9">
    <mergeCell ref="A17:A18"/>
    <mergeCell ref="A20:L20"/>
    <mergeCell ref="A1:K1"/>
    <mergeCell ref="A13:A14"/>
    <mergeCell ref="A15:A16"/>
    <mergeCell ref="A3:A4"/>
    <mergeCell ref="A5:A6"/>
    <mergeCell ref="A8:A9"/>
    <mergeCell ref="A10:A11"/>
  </mergeCells>
  <pageMargins left="0.7" right="0.7" top="0.75" bottom="0.75" header="0.3" footer="0.3"/>
  <pageSetup paperSize="9" scale="94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F95CC-3C12-4D4C-8D6B-A47FA66EDCAF}">
  <dimension ref="A1:I31"/>
  <sheetViews>
    <sheetView zoomScale="110" zoomScaleNormal="110" workbookViewId="0">
      <selection activeCell="B14" sqref="B14"/>
    </sheetView>
  </sheetViews>
  <sheetFormatPr baseColWidth="10" defaultColWidth="9.1640625" defaultRowHeight="16"/>
  <cols>
    <col min="1" max="1" width="4.1640625" style="229" bestFit="1" customWidth="1"/>
    <col min="2" max="2" width="31.1640625" style="229" customWidth="1"/>
    <col min="3" max="3" width="8.1640625" style="229" customWidth="1"/>
    <col min="4" max="4" width="9.83203125" style="229" customWidth="1"/>
    <col min="5" max="5" width="13.83203125" style="229" customWidth="1"/>
    <col min="6" max="6" width="9.83203125" style="229" customWidth="1"/>
    <col min="7" max="7" width="13" style="229" bestFit="1" customWidth="1"/>
    <col min="8" max="8" width="14.33203125" style="229" customWidth="1"/>
    <col min="9" max="9" width="6.5" style="229" customWidth="1"/>
    <col min="10" max="16384" width="9.1640625" style="229"/>
  </cols>
  <sheetData>
    <row r="1" spans="1:9" ht="21.75" customHeight="1">
      <c r="A1" s="789" t="s">
        <v>1130</v>
      </c>
      <c r="B1" s="789"/>
      <c r="C1" s="789"/>
      <c r="D1" s="240"/>
      <c r="E1" s="228"/>
      <c r="G1" s="228" t="s">
        <v>289</v>
      </c>
      <c r="H1" s="237">
        <v>10</v>
      </c>
    </row>
    <row r="2" spans="1:9" ht="34">
      <c r="A2" s="230" t="s">
        <v>18</v>
      </c>
      <c r="B2" s="231" t="s">
        <v>77</v>
      </c>
      <c r="C2" s="230" t="s">
        <v>87</v>
      </c>
      <c r="D2" s="230" t="s">
        <v>397</v>
      </c>
      <c r="E2" s="230" t="s">
        <v>394</v>
      </c>
      <c r="F2" s="230" t="s">
        <v>398</v>
      </c>
      <c r="G2" s="230" t="s">
        <v>543</v>
      </c>
      <c r="H2" s="230" t="s">
        <v>399</v>
      </c>
      <c r="I2" s="230" t="s">
        <v>678</v>
      </c>
    </row>
    <row r="3" spans="1:9" ht="17">
      <c r="A3" s="232">
        <v>1</v>
      </c>
      <c r="B3" s="233" t="str">
        <f>'11_Цены_СиМ'!B3</f>
        <v>Кукуруза</v>
      </c>
      <c r="C3" s="232" t="s">
        <v>281</v>
      </c>
      <c r="D3" s="235">
        <f t="shared" ref="D3:D17" si="0">G3/$C$31</f>
        <v>1.9444444444444444</v>
      </c>
      <c r="E3" s="234">
        <f>'11_Цены_СиМ'!F3</f>
        <v>13521.685000000001</v>
      </c>
      <c r="F3" s="234">
        <f t="shared" ref="F3:F17" si="1">H3*1000/$C$31</f>
        <v>26292.165277777782</v>
      </c>
      <c r="G3" s="234">
        <f>'6_МБ_ЛК_Ку-за'!$C$3</f>
        <v>38888.888888888891</v>
      </c>
      <c r="H3" s="709">
        <f>G3*E3/1000</f>
        <v>525843.30555555562</v>
      </c>
      <c r="I3" s="710">
        <f>F3/$F$19</f>
        <v>0.40153908896264001</v>
      </c>
    </row>
    <row r="4" spans="1:9" ht="34">
      <c r="A4" s="232">
        <f>A3+1</f>
        <v>2</v>
      </c>
      <c r="B4" s="233" t="str">
        <f>'11_Цены_СиМ'!B4</f>
        <v>Альфа-амилазный ферментный препарат</v>
      </c>
      <c r="C4" s="232" t="s">
        <v>281</v>
      </c>
      <c r="D4" s="356">
        <f t="shared" si="0"/>
        <v>1.3500000000000001E-3</v>
      </c>
      <c r="E4" s="234">
        <f>'11_Цены_СиМ'!F4</f>
        <v>828766.13329999999</v>
      </c>
      <c r="F4" s="234">
        <f t="shared" si="1"/>
        <v>1118.8342799550001</v>
      </c>
      <c r="G4" s="234">
        <v>27</v>
      </c>
      <c r="H4" s="709">
        <f t="shared" ref="H4:H17" si="2">G4*E4/1000</f>
        <v>22376.685599100001</v>
      </c>
      <c r="I4" s="710">
        <f t="shared" ref="I4:I18" si="3">F4/$F$19</f>
        <v>1.7087055886302917E-2</v>
      </c>
    </row>
    <row r="5" spans="1:9" ht="34">
      <c r="A5" s="232">
        <f t="shared" ref="A5:A18" si="4">A4+1</f>
        <v>3</v>
      </c>
      <c r="B5" s="233" t="str">
        <f>'11_Цены_СиМ'!B5</f>
        <v>Глюко-амилазный ферментный препарат</v>
      </c>
      <c r="C5" s="232" t="s">
        <v>281</v>
      </c>
      <c r="D5" s="356">
        <f t="shared" si="0"/>
        <v>5.9999999999999995E-4</v>
      </c>
      <c r="E5" s="234">
        <f>'11_Цены_СиМ'!F5</f>
        <v>628282.88179999997</v>
      </c>
      <c r="F5" s="234">
        <f t="shared" si="1"/>
        <v>376.96972907999998</v>
      </c>
      <c r="G5" s="234">
        <v>12</v>
      </c>
      <c r="H5" s="709">
        <f t="shared" si="2"/>
        <v>7539.3945815999996</v>
      </c>
      <c r="I5" s="710">
        <f t="shared" si="3"/>
        <v>5.7571554104451483E-3</v>
      </c>
    </row>
    <row r="6" spans="1:9" ht="17">
      <c r="A6" s="232">
        <f t="shared" si="4"/>
        <v>4</v>
      </c>
      <c r="B6" s="233" t="str">
        <f>'11_Цены_СиМ'!B6</f>
        <v>Кислота серная  техническая, 92%</v>
      </c>
      <c r="C6" s="232" t="s">
        <v>281</v>
      </c>
      <c r="D6" s="356">
        <f t="shared" si="0"/>
        <v>0.74850000000000005</v>
      </c>
      <c r="E6" s="234">
        <f>'11_Цены_СиМ'!F6</f>
        <v>10750</v>
      </c>
      <c r="F6" s="234">
        <f t="shared" si="1"/>
        <v>8046.375</v>
      </c>
      <c r="G6" s="234">
        <v>14970</v>
      </c>
      <c r="H6" s="709">
        <f t="shared" si="2"/>
        <v>160927.5</v>
      </c>
      <c r="I6" s="710">
        <f t="shared" si="3"/>
        <v>0.12288581228730362</v>
      </c>
    </row>
    <row r="7" spans="1:9" ht="17">
      <c r="A7" s="232">
        <f t="shared" si="4"/>
        <v>5</v>
      </c>
      <c r="B7" s="233" t="str">
        <f>'11_Цены_СиМ'!B7</f>
        <v>Карбамид</v>
      </c>
      <c r="C7" s="232" t="s">
        <v>281</v>
      </c>
      <c r="D7" s="356">
        <f t="shared" si="0"/>
        <v>1E-3</v>
      </c>
      <c r="E7" s="234">
        <f>'11_Цены_СиМ'!F7</f>
        <v>22822</v>
      </c>
      <c r="F7" s="234">
        <f t="shared" si="1"/>
        <v>22.821999999999999</v>
      </c>
      <c r="G7" s="234">
        <v>20</v>
      </c>
      <c r="H7" s="709">
        <f t="shared" si="2"/>
        <v>456.44</v>
      </c>
      <c r="I7" s="710">
        <f t="shared" si="3"/>
        <v>3.4854204632779894E-4</v>
      </c>
    </row>
    <row r="8" spans="1:9" ht="17">
      <c r="A8" s="232">
        <f t="shared" si="4"/>
        <v>6</v>
      </c>
      <c r="B8" s="233" t="str">
        <f>'11_Цены_СиМ'!B8</f>
        <v>Пеногаситель</v>
      </c>
      <c r="C8" s="232" t="s">
        <v>281</v>
      </c>
      <c r="D8" s="356">
        <f t="shared" si="0"/>
        <v>1.1000000000000001E-3</v>
      </c>
      <c r="E8" s="234">
        <f>'11_Цены_СиМ'!F8</f>
        <v>529000</v>
      </c>
      <c r="F8" s="234">
        <f t="shared" si="1"/>
        <v>581.9</v>
      </c>
      <c r="G8" s="234">
        <v>22</v>
      </c>
      <c r="H8" s="709">
        <f t="shared" si="2"/>
        <v>11638</v>
      </c>
      <c r="I8" s="710">
        <f t="shared" si="3"/>
        <v>8.8868905774316977E-3</v>
      </c>
    </row>
    <row r="9" spans="1:9" ht="17">
      <c r="A9" s="232">
        <f t="shared" si="4"/>
        <v>7</v>
      </c>
      <c r="B9" s="233" t="str">
        <f>'11_Цены_СиМ'!B9</f>
        <v>Карбонат кальция</v>
      </c>
      <c r="C9" s="232" t="s">
        <v>281</v>
      </c>
      <c r="D9" s="356">
        <f t="shared" si="0"/>
        <v>0.64449999999999996</v>
      </c>
      <c r="E9" s="234">
        <f>'11_Цены_СиМ'!F9</f>
        <v>3860</v>
      </c>
      <c r="F9" s="234">
        <f t="shared" si="1"/>
        <v>2487.77</v>
      </c>
      <c r="G9" s="234">
        <v>12890</v>
      </c>
      <c r="H9" s="709">
        <f t="shared" si="2"/>
        <v>49755.4</v>
      </c>
      <c r="I9" s="710">
        <f t="shared" si="3"/>
        <v>3.7993709867360809E-2</v>
      </c>
    </row>
    <row r="10" spans="1:9" ht="17">
      <c r="A10" s="232">
        <f t="shared" si="4"/>
        <v>8</v>
      </c>
      <c r="B10" s="233" t="str">
        <f>'11_Цены_СиМ'!B10</f>
        <v>Гидроксид натрия, 42%</v>
      </c>
      <c r="C10" s="232" t="s">
        <v>281</v>
      </c>
      <c r="D10" s="356">
        <f t="shared" si="0"/>
        <v>4.3999999999999997E-2</v>
      </c>
      <c r="E10" s="234">
        <f>'11_Цены_СиМ'!F10</f>
        <v>31000</v>
      </c>
      <c r="F10" s="234">
        <f t="shared" si="1"/>
        <v>1364</v>
      </c>
      <c r="G10" s="234">
        <v>880</v>
      </c>
      <c r="H10" s="709">
        <f t="shared" si="2"/>
        <v>27280</v>
      </c>
      <c r="I10" s="710">
        <f t="shared" si="3"/>
        <v>2.0831274699461822E-2</v>
      </c>
    </row>
    <row r="11" spans="1:9" ht="17">
      <c r="A11" s="232">
        <f t="shared" si="4"/>
        <v>9</v>
      </c>
      <c r="B11" s="233" t="str">
        <f>'11_Цены_СиМ'!B11</f>
        <v>Кислота соляная, 31%</v>
      </c>
      <c r="C11" s="232" t="s">
        <v>281</v>
      </c>
      <c r="D11" s="356">
        <f t="shared" si="0"/>
        <v>5.5E-2</v>
      </c>
      <c r="E11" s="234">
        <f>'11_Цены_СиМ'!F11</f>
        <v>12900</v>
      </c>
      <c r="F11" s="234">
        <f t="shared" si="1"/>
        <v>709.5</v>
      </c>
      <c r="G11" s="234">
        <v>1100</v>
      </c>
      <c r="H11" s="709">
        <f t="shared" si="2"/>
        <v>14190</v>
      </c>
      <c r="I11" s="710">
        <f t="shared" si="3"/>
        <v>1.083562272673619E-2</v>
      </c>
    </row>
    <row r="12" spans="1:9" ht="35" customHeight="1">
      <c r="A12" s="232">
        <f t="shared" si="4"/>
        <v>10</v>
      </c>
      <c r="B12" s="233" t="str">
        <f>'11_Цены_СиМ'!B12</f>
        <v>Уголь активированный порошковый</v>
      </c>
      <c r="C12" s="232" t="s">
        <v>281</v>
      </c>
      <c r="D12" s="357">
        <f t="shared" si="0"/>
        <v>5.4999999999999997E-3</v>
      </c>
      <c r="E12" s="234">
        <f>'11_Цены_СиМ'!F12</f>
        <v>138000</v>
      </c>
      <c r="F12" s="234">
        <f t="shared" si="1"/>
        <v>759</v>
      </c>
      <c r="G12" s="234">
        <v>110</v>
      </c>
      <c r="H12" s="709">
        <f t="shared" si="2"/>
        <v>15180</v>
      </c>
      <c r="I12" s="710">
        <f t="shared" si="3"/>
        <v>1.1591596405345692E-2</v>
      </c>
    </row>
    <row r="13" spans="1:9" ht="17">
      <c r="A13" s="232">
        <f t="shared" si="4"/>
        <v>11</v>
      </c>
      <c r="B13" s="233" t="str">
        <f>'11_Цены_СиМ'!B13</f>
        <v>Диатомит</v>
      </c>
      <c r="C13" s="232" t="s">
        <v>281</v>
      </c>
      <c r="D13" s="356">
        <f t="shared" si="0"/>
        <v>8.8000000000000005E-3</v>
      </c>
      <c r="E13" s="234">
        <f>'11_Цены_СиМ'!F13</f>
        <v>27000</v>
      </c>
      <c r="F13" s="234">
        <f t="shared" si="1"/>
        <v>237.6</v>
      </c>
      <c r="G13" s="234">
        <v>176</v>
      </c>
      <c r="H13" s="709">
        <f t="shared" si="2"/>
        <v>4752</v>
      </c>
      <c r="I13" s="710">
        <f t="shared" si="3"/>
        <v>3.6286736573256078E-3</v>
      </c>
    </row>
    <row r="14" spans="1:9" ht="17">
      <c r="A14" s="232">
        <f t="shared" si="4"/>
        <v>12</v>
      </c>
      <c r="B14" s="233" t="str">
        <f>'11_Цены_СиМ'!B14</f>
        <v>Электроэнергия</v>
      </c>
      <c r="C14" s="232" t="s">
        <v>281</v>
      </c>
      <c r="D14" s="234">
        <f t="shared" si="0"/>
        <v>2815.2352799999999</v>
      </c>
      <c r="E14" s="444">
        <f>'11_Цены_СиМ'!F14</f>
        <v>6.0335910444770287</v>
      </c>
      <c r="F14" s="234">
        <f t="shared" si="1"/>
        <v>16985.978373503778</v>
      </c>
      <c r="G14" s="234">
        <f>'23_Эл-Эн'!$C$26</f>
        <v>56304705.599999994</v>
      </c>
      <c r="H14" s="709">
        <f t="shared" si="2"/>
        <v>339719.56747007556</v>
      </c>
      <c r="I14" s="710">
        <f t="shared" si="3"/>
        <v>0.25941318294543619</v>
      </c>
    </row>
    <row r="15" spans="1:9" ht="17">
      <c r="A15" s="232">
        <f t="shared" si="4"/>
        <v>13</v>
      </c>
      <c r="B15" s="233" t="str">
        <f>'11_Цены_СиМ'!B15</f>
        <v>Газ</v>
      </c>
      <c r="C15" s="232" t="s">
        <v>281</v>
      </c>
      <c r="D15" s="234">
        <f t="shared" si="0"/>
        <v>687.87954956573185</v>
      </c>
      <c r="E15" s="444">
        <f>'11_Цены_СиМ'!F15</f>
        <v>6.5421700000000005</v>
      </c>
      <c r="F15" s="234">
        <f t="shared" si="1"/>
        <v>4500.2249527824442</v>
      </c>
      <c r="G15" s="234">
        <f>'24_Газ_Итог'!E5</f>
        <v>13757590.991314637</v>
      </c>
      <c r="H15" s="709">
        <f t="shared" si="2"/>
        <v>90004.499055648877</v>
      </c>
      <c r="I15" s="710">
        <f t="shared" si="3"/>
        <v>6.8728315396468995E-2</v>
      </c>
    </row>
    <row r="16" spans="1:9" ht="20">
      <c r="A16" s="232">
        <f t="shared" si="4"/>
        <v>14</v>
      </c>
      <c r="B16" s="233" t="str">
        <f>'11_Цены_СиМ'!B16</f>
        <v>Водоснабжение</v>
      </c>
      <c r="C16" s="232" t="s">
        <v>390</v>
      </c>
      <c r="D16" s="234">
        <f t="shared" si="0"/>
        <v>59.785928789076664</v>
      </c>
      <c r="E16" s="234">
        <f>'11_Цены_СиМ'!F16</f>
        <v>0</v>
      </c>
      <c r="F16" s="234">
        <f t="shared" si="1"/>
        <v>0</v>
      </c>
      <c r="G16" s="234">
        <f>'27_Вода'!F10</f>
        <v>1195718.5757815333</v>
      </c>
      <c r="H16" s="709">
        <f t="shared" si="2"/>
        <v>0</v>
      </c>
      <c r="I16" s="710">
        <f t="shared" si="3"/>
        <v>0</v>
      </c>
    </row>
    <row r="17" spans="1:9" ht="20">
      <c r="A17" s="232">
        <f t="shared" si="4"/>
        <v>15</v>
      </c>
      <c r="B17" s="233" t="str">
        <f>'11_Цены_СиМ'!B17</f>
        <v>Водоотведение</v>
      </c>
      <c r="C17" s="232" t="s">
        <v>390</v>
      </c>
      <c r="D17" s="358">
        <f t="shared" si="0"/>
        <v>37.242300197269167</v>
      </c>
      <c r="E17" s="234">
        <f>'11_Цены_СиМ'!F17</f>
        <v>22</v>
      </c>
      <c r="F17" s="234">
        <f t="shared" si="1"/>
        <v>819.33060433992159</v>
      </c>
      <c r="G17" s="234">
        <f>'28_Кан-ция'!F9</f>
        <v>744846.00394538336</v>
      </c>
      <c r="H17" s="709">
        <f t="shared" si="2"/>
        <v>16386.612086798432</v>
      </c>
      <c r="I17" s="710">
        <f t="shared" si="3"/>
        <v>1.2512977191115084E-2</v>
      </c>
    </row>
    <row r="18" spans="1:9" ht="17">
      <c r="A18" s="232">
        <f t="shared" si="4"/>
        <v>16</v>
      </c>
      <c r="B18" s="233" t="str">
        <f>'11_Цены_СиМ'!B18</f>
        <v>Пакет, крафт, 25 кг</v>
      </c>
      <c r="C18" s="699" t="s">
        <v>227</v>
      </c>
      <c r="D18" s="236">
        <v>40</v>
      </c>
      <c r="E18" s="234">
        <f>'11_Цены_СиМ'!F18</f>
        <v>29.400000000000002</v>
      </c>
      <c r="F18" s="234">
        <f>D18*E18</f>
        <v>1176</v>
      </c>
      <c r="G18" s="234">
        <f>D18*C31</f>
        <v>800000</v>
      </c>
      <c r="H18" s="709">
        <f>G18*E18/1000</f>
        <v>23520</v>
      </c>
      <c r="I18" s="710">
        <f t="shared" si="3"/>
        <v>1.7960101940298463E-2</v>
      </c>
    </row>
    <row r="19" spans="1:9" ht="17">
      <c r="A19" s="359"/>
      <c r="B19" s="360" t="s">
        <v>551</v>
      </c>
      <c r="C19" s="359"/>
      <c r="D19" s="359"/>
      <c r="E19" s="361"/>
      <c r="F19" s="361">
        <f>SUM(F3:F18)</f>
        <v>65478.470217438924</v>
      </c>
      <c r="G19" s="359"/>
      <c r="H19" s="361">
        <f>SUM(H3:H18)</f>
        <v>1309569.4043487785</v>
      </c>
      <c r="I19" s="711">
        <f>SUM(I3:I18)</f>
        <v>1</v>
      </c>
    </row>
    <row r="20" spans="1:9" ht="34">
      <c r="A20" s="232">
        <v>17</v>
      </c>
      <c r="B20" s="233" t="s">
        <v>6</v>
      </c>
      <c r="C20" s="232" t="s">
        <v>2</v>
      </c>
      <c r="D20" s="232"/>
      <c r="E20" s="234"/>
      <c r="F20" s="234">
        <f>H20*1000/$C$31</f>
        <v>13731.859571999999</v>
      </c>
      <c r="G20" s="232"/>
      <c r="H20" s="234">
        <f>'12_ФОТ'!V22*12/1000</f>
        <v>274637.19144000002</v>
      </c>
    </row>
    <row r="21" spans="1:9" ht="21" customHeight="1">
      <c r="A21" s="232">
        <f>A20+1</f>
        <v>18</v>
      </c>
      <c r="B21" s="233" t="s">
        <v>96</v>
      </c>
      <c r="C21" s="232" t="s">
        <v>2</v>
      </c>
      <c r="D21" s="362"/>
      <c r="E21" s="232"/>
      <c r="F21" s="234">
        <f>H21*1000/$C$31</f>
        <v>4206.7450350337413</v>
      </c>
      <c r="G21" s="232"/>
      <c r="H21" s="234">
        <f>'13_Пост. Расх.'!C33+AVERAGE('22_Ам-ция'!F15:H15)</f>
        <v>84134.900700674814</v>
      </c>
    </row>
    <row r="22" spans="1:9" ht="17">
      <c r="A22" s="359"/>
      <c r="B22" s="360" t="s">
        <v>552</v>
      </c>
      <c r="C22" s="359"/>
      <c r="D22" s="359"/>
      <c r="E22" s="361"/>
      <c r="F22" s="361">
        <f>SUM(F19:F21)</f>
        <v>83417.074824472671</v>
      </c>
      <c r="G22" s="359"/>
      <c r="H22" s="361">
        <f>SUM(H19:H21)</f>
        <v>1668341.4964894534</v>
      </c>
    </row>
    <row r="23" spans="1:9" ht="34">
      <c r="A23" s="232">
        <f>A21+1</f>
        <v>19</v>
      </c>
      <c r="B23" s="694" t="s">
        <v>1128</v>
      </c>
      <c r="C23" s="232" t="s">
        <v>2</v>
      </c>
      <c r="D23" s="232"/>
      <c r="E23" s="232"/>
      <c r="F23" s="234">
        <f>H23*1000/$C$31</f>
        <v>623.71791431759459</v>
      </c>
      <c r="G23" s="232"/>
      <c r="H23" s="234">
        <f>'10-1_К-ция_ПП'!I5</f>
        <v>12474.358286351891</v>
      </c>
    </row>
    <row r="24" spans="1:9" ht="34">
      <c r="A24" s="232">
        <f>A23+1</f>
        <v>20</v>
      </c>
      <c r="B24" s="694" t="s">
        <v>1129</v>
      </c>
      <c r="C24" s="232" t="s">
        <v>2</v>
      </c>
      <c r="D24" s="232"/>
      <c r="E24" s="232"/>
      <c r="F24" s="234">
        <f>-H24*1000/$C$31</f>
        <v>-11375.826944763039</v>
      </c>
      <c r="G24" s="232"/>
      <c r="H24" s="234">
        <f>SUM('7_Выручка'!$G$29:$G$31)</f>
        <v>227516.53889526078</v>
      </c>
    </row>
    <row r="25" spans="1:9" ht="17">
      <c r="A25" s="359"/>
      <c r="B25" s="360" t="s">
        <v>572</v>
      </c>
      <c r="C25" s="359"/>
      <c r="D25" s="359"/>
      <c r="E25" s="361"/>
      <c r="F25" s="361">
        <f>SUM(F22:F24)</f>
        <v>72664.965794027215</v>
      </c>
      <c r="G25" s="359"/>
      <c r="H25" s="361">
        <f>SUM(H22:H24)</f>
        <v>1908332.393671066</v>
      </c>
    </row>
    <row r="26" spans="1:9" ht="34">
      <c r="A26" s="232">
        <f>A24+1</f>
        <v>21</v>
      </c>
      <c r="B26" s="233" t="s">
        <v>38</v>
      </c>
      <c r="C26" s="232" t="s">
        <v>2</v>
      </c>
      <c r="D26" s="700" t="s">
        <v>1124</v>
      </c>
      <c r="E26" s="232"/>
      <c r="F26" s="234">
        <f>H26*1000/$C$31</f>
        <v>21971.58801174417</v>
      </c>
      <c r="G26" s="232"/>
      <c r="H26" s="234">
        <f>'22_Ам-ция'!F28</f>
        <v>439431.7602348834</v>
      </c>
    </row>
    <row r="27" spans="1:9" ht="17">
      <c r="A27" s="359"/>
      <c r="B27" s="360" t="s">
        <v>575</v>
      </c>
      <c r="C27" s="359"/>
      <c r="D27" s="359"/>
      <c r="E27" s="361"/>
      <c r="F27" s="361">
        <f>SUM(F25:F26)</f>
        <v>94636.553805771386</v>
      </c>
      <c r="G27" s="359"/>
      <c r="H27" s="361">
        <f>SUM(H24:H26)</f>
        <v>2575280.6928012106</v>
      </c>
    </row>
    <row r="28" spans="1:9" ht="34">
      <c r="A28" s="232">
        <f>A26+1</f>
        <v>22</v>
      </c>
      <c r="B28" s="232" t="s">
        <v>579</v>
      </c>
      <c r="C28" s="232" t="s">
        <v>2</v>
      </c>
      <c r="D28" s="232"/>
      <c r="E28" s="232"/>
      <c r="F28" s="234">
        <f>H28*1000/$C$31</f>
        <v>11909.378805213595</v>
      </c>
      <c r="G28" s="232"/>
      <c r="H28" s="234">
        <f>'16_Кредит'!N12*'2_Бюджет'!I7</f>
        <v>238187.5761042719</v>
      </c>
    </row>
    <row r="29" spans="1:9" ht="18" thickBot="1">
      <c r="A29" s="359"/>
      <c r="B29" s="716" t="s">
        <v>580</v>
      </c>
      <c r="C29" s="717"/>
      <c r="D29" s="717"/>
      <c r="E29" s="718"/>
      <c r="F29" s="718">
        <f>SUM(F27:F28)</f>
        <v>106545.93261098498</v>
      </c>
      <c r="G29" s="717"/>
      <c r="H29" s="718">
        <f>SUM(H26:H28)</f>
        <v>3252900.0291403658</v>
      </c>
    </row>
    <row r="30" spans="1:9" ht="29" customHeight="1" thickTop="1" thickBot="1">
      <c r="A30" s="380"/>
      <c r="B30" s="719" t="s">
        <v>1140</v>
      </c>
      <c r="C30" s="720"/>
      <c r="D30" s="720"/>
      <c r="E30" s="720"/>
      <c r="F30" s="721">
        <f>'8_Цены_ГП'!G3</f>
        <v>143565.70192999998</v>
      </c>
      <c r="G30" s="720"/>
      <c r="H30" s="722"/>
    </row>
    <row r="31" spans="1:9" ht="17">
      <c r="B31" s="354" t="s">
        <v>1125</v>
      </c>
      <c r="C31" s="355">
        <f>'6_МБ_ЛК_Ку-за'!C11</f>
        <v>20000</v>
      </c>
    </row>
  </sheetData>
  <mergeCells count="1">
    <mergeCell ref="A1:C1"/>
  </mergeCells>
  <pageMargins left="0.7" right="0.7" top="0.75" bottom="0.75" header="0.3" footer="0.3"/>
  <pageSetup paperSize="9" orientation="landscape" horizontalDpi="0" verticalDpi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0A7C4-0AED-ED49-A7A1-488B6EF87F29}">
  <dimension ref="A1:I12"/>
  <sheetViews>
    <sheetView topLeftCell="B1" zoomScale="110" zoomScaleNormal="110" workbookViewId="0">
      <selection activeCell="N54" sqref="N54"/>
    </sheetView>
  </sheetViews>
  <sheetFormatPr baseColWidth="10" defaultColWidth="9.1640625" defaultRowHeight="16"/>
  <cols>
    <col min="1" max="1" width="4.1640625" style="229" bestFit="1" customWidth="1"/>
    <col min="2" max="2" width="61.33203125" style="229" customWidth="1"/>
    <col min="3" max="3" width="8.5" style="229" bestFit="1" customWidth="1"/>
    <col min="4" max="4" width="14" style="229" bestFit="1" customWidth="1"/>
    <col min="5" max="5" width="13.83203125" style="229" customWidth="1"/>
    <col min="6" max="6" width="12.1640625" style="229" bestFit="1" customWidth="1"/>
    <col min="7" max="7" width="12.1640625" style="229" customWidth="1"/>
    <col min="8" max="8" width="13" style="229" bestFit="1" customWidth="1"/>
    <col min="9" max="9" width="15.1640625" style="229" customWidth="1"/>
    <col min="10" max="16384" width="9.1640625" style="229"/>
  </cols>
  <sheetData>
    <row r="1" spans="1:9" ht="21.75" customHeight="1">
      <c r="A1" s="789" t="s">
        <v>1181</v>
      </c>
      <c r="B1" s="789"/>
      <c r="C1" s="789"/>
      <c r="D1" s="240"/>
      <c r="E1" s="228"/>
    </row>
    <row r="2" spans="1:9" ht="34">
      <c r="A2" s="230" t="s">
        <v>18</v>
      </c>
      <c r="B2" s="231" t="s">
        <v>77</v>
      </c>
      <c r="C2" s="230" t="s">
        <v>87</v>
      </c>
      <c r="D2" s="230" t="s">
        <v>397</v>
      </c>
      <c r="E2" s="230" t="s">
        <v>394</v>
      </c>
      <c r="F2" s="230" t="s">
        <v>398</v>
      </c>
      <c r="G2" s="230" t="s">
        <v>1186</v>
      </c>
      <c r="H2" s="230" t="s">
        <v>543</v>
      </c>
      <c r="I2" s="230" t="s">
        <v>399</v>
      </c>
    </row>
    <row r="3" spans="1:9" ht="17">
      <c r="A3" s="232">
        <v>1</v>
      </c>
      <c r="B3" s="233" t="s">
        <v>558</v>
      </c>
      <c r="C3" s="232" t="s">
        <v>59</v>
      </c>
      <c r="D3" s="235">
        <v>1</v>
      </c>
      <c r="E3" s="234">
        <f>'11_Цены_СиМ'!F19</f>
        <v>409</v>
      </c>
      <c r="F3" s="234">
        <f>E3*D3</f>
        <v>409</v>
      </c>
      <c r="G3" s="234">
        <f>D12</f>
        <v>30499.653511862816</v>
      </c>
      <c r="H3" s="234">
        <f>G3/D3</f>
        <v>30499.653511862816</v>
      </c>
      <c r="I3" s="234">
        <f>H3*E3/1000</f>
        <v>12474.358286351891</v>
      </c>
    </row>
    <row r="4" spans="1:9">
      <c r="A4" s="232"/>
      <c r="B4" s="233"/>
      <c r="C4" s="232"/>
      <c r="D4" s="356"/>
      <c r="E4" s="234"/>
      <c r="F4" s="234"/>
      <c r="G4" s="234"/>
      <c r="H4" s="234"/>
      <c r="I4" s="234"/>
    </row>
    <row r="5" spans="1:9" ht="17">
      <c r="A5" s="359"/>
      <c r="B5" s="360" t="s">
        <v>36</v>
      </c>
      <c r="C5" s="359"/>
      <c r="D5" s="359"/>
      <c r="E5" s="361"/>
      <c r="F5" s="361"/>
      <c r="G5" s="361"/>
      <c r="H5" s="359"/>
      <c r="I5" s="361">
        <f>SUM(I3:I4)</f>
        <v>12474.358286351891</v>
      </c>
    </row>
    <row r="8" spans="1:9" ht="17">
      <c r="B8" s="750" t="s">
        <v>1182</v>
      </c>
      <c r="C8" s="750" t="s">
        <v>1</v>
      </c>
      <c r="D8" s="750" t="s">
        <v>57</v>
      </c>
    </row>
    <row r="9" spans="1:9" ht="17">
      <c r="B9" s="753" t="s">
        <v>1183</v>
      </c>
      <c r="C9" s="754" t="s">
        <v>830</v>
      </c>
      <c r="D9" s="755">
        <f>'6_МБ_ЛК_Ку-за'!C12</f>
        <v>7999.6212121212138</v>
      </c>
    </row>
    <row r="10" spans="1:9" ht="17">
      <c r="B10" s="746" t="s">
        <v>1184</v>
      </c>
      <c r="C10" s="699" t="s">
        <v>830</v>
      </c>
      <c r="D10" s="234">
        <f>'6_МБ_ЛК_Ку-за'!C13</f>
        <v>4500.0322997416024</v>
      </c>
    </row>
    <row r="11" spans="1:9" ht="17">
      <c r="B11" s="746" t="s">
        <v>1185</v>
      </c>
      <c r="C11" s="699" t="s">
        <v>830</v>
      </c>
      <c r="D11" s="234">
        <f>'6_МБ_ЛК_Ку-за'!C15</f>
        <v>18000</v>
      </c>
    </row>
    <row r="12" spans="1:9" ht="17">
      <c r="B12" s="747" t="s">
        <v>3</v>
      </c>
      <c r="C12" s="748" t="s">
        <v>830</v>
      </c>
      <c r="D12" s="749">
        <f>SUM(D9:D11)</f>
        <v>30499.653511862816</v>
      </c>
    </row>
  </sheetData>
  <mergeCells count="1">
    <mergeCell ref="A1:C1"/>
  </mergeCells>
  <pageMargins left="0.7" right="0.7" top="0.75" bottom="0.75" header="0.3" footer="0.3"/>
  <pageSetup paperSize="9" orientation="landscape" horizontalDpi="0" verticalDpi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2"/>
  <sheetViews>
    <sheetView zoomScale="110" zoomScaleNormal="110" workbookViewId="0">
      <selection sqref="A1:G19"/>
    </sheetView>
  </sheetViews>
  <sheetFormatPr baseColWidth="10" defaultColWidth="9.1640625" defaultRowHeight="16"/>
  <cols>
    <col min="1" max="1" width="4.1640625" style="229" bestFit="1" customWidth="1"/>
    <col min="2" max="2" width="38.83203125" style="229" customWidth="1"/>
    <col min="3" max="3" width="9" style="229" bestFit="1" customWidth="1"/>
    <col min="4" max="4" width="8.5" style="229" bestFit="1" customWidth="1"/>
    <col min="5" max="5" width="13.83203125" style="229" bestFit="1" customWidth="1"/>
    <col min="6" max="6" width="13.83203125" style="229" customWidth="1"/>
    <col min="7" max="7" width="31.5" style="229" bestFit="1" customWidth="1"/>
    <col min="8" max="8" width="42.6640625" style="229" customWidth="1"/>
    <col min="9" max="9" width="63.5" style="229" customWidth="1"/>
    <col min="10" max="16384" width="9.1640625" style="229"/>
  </cols>
  <sheetData>
    <row r="1" spans="1:9" ht="21.75" customHeight="1">
      <c r="A1" s="789" t="s">
        <v>93</v>
      </c>
      <c r="B1" s="789"/>
      <c r="C1" s="789"/>
      <c r="D1" s="789"/>
      <c r="E1" s="228"/>
      <c r="F1" s="228"/>
      <c r="G1" s="437" t="s">
        <v>680</v>
      </c>
    </row>
    <row r="2" spans="1:9" ht="68">
      <c r="A2" s="230" t="s">
        <v>18</v>
      </c>
      <c r="B2" s="231" t="s">
        <v>77</v>
      </c>
      <c r="C2" s="230" t="s">
        <v>87</v>
      </c>
      <c r="D2" s="230" t="s">
        <v>78</v>
      </c>
      <c r="E2" s="230" t="s">
        <v>393</v>
      </c>
      <c r="F2" s="230" t="s">
        <v>788</v>
      </c>
      <c r="G2" s="230" t="s">
        <v>376</v>
      </c>
    </row>
    <row r="3" spans="1:9" ht="17">
      <c r="A3" s="232">
        <v>1</v>
      </c>
      <c r="B3" s="510" t="s">
        <v>559</v>
      </c>
      <c r="C3" s="232" t="s">
        <v>281</v>
      </c>
      <c r="D3" s="232" t="s">
        <v>392</v>
      </c>
      <c r="E3" s="234">
        <f>'11-1_Ку-за'!Y5</f>
        <v>12521.685000000001</v>
      </c>
      <c r="F3" s="234">
        <f>IF(D3="EUR",E3*$C$21,E3)+'29_Логистика'!E4</f>
        <v>13521.685000000001</v>
      </c>
      <c r="G3" s="781" t="s">
        <v>1239</v>
      </c>
    </row>
    <row r="4" spans="1:9" ht="17">
      <c r="A4" s="232">
        <f>A3+1</f>
        <v>2</v>
      </c>
      <c r="B4" s="527" t="s">
        <v>384</v>
      </c>
      <c r="C4" s="232" t="s">
        <v>281</v>
      </c>
      <c r="D4" s="232" t="s">
        <v>391</v>
      </c>
      <c r="E4" s="234">
        <v>8123</v>
      </c>
      <c r="F4" s="234">
        <f>IF(D4="EUR",E4*$C$21,E4)</f>
        <v>828766.13329999999</v>
      </c>
      <c r="G4" s="232" t="s">
        <v>395</v>
      </c>
    </row>
    <row r="5" spans="1:9" ht="17">
      <c r="A5" s="232">
        <f>A4+1</f>
        <v>3</v>
      </c>
      <c r="B5" s="233" t="s">
        <v>385</v>
      </c>
      <c r="C5" s="232" t="s">
        <v>281</v>
      </c>
      <c r="D5" s="232" t="s">
        <v>391</v>
      </c>
      <c r="E5" s="234">
        <v>6158</v>
      </c>
      <c r="F5" s="234">
        <f>IF(D5="EUR",E5*$C$21,E5)</f>
        <v>628282.88179999997</v>
      </c>
      <c r="G5" s="232" t="s">
        <v>395</v>
      </c>
    </row>
    <row r="6" spans="1:9" ht="34">
      <c r="A6" s="232">
        <f t="shared" ref="A6:A19" si="0">A5+1</f>
        <v>4</v>
      </c>
      <c r="B6" s="233" t="s">
        <v>386</v>
      </c>
      <c r="C6" s="232" t="s">
        <v>281</v>
      </c>
      <c r="D6" s="232" t="s">
        <v>392</v>
      </c>
      <c r="E6" s="234">
        <f>9300/1.2</f>
        <v>7750</v>
      </c>
      <c r="F6" s="234">
        <f>IF(D6="EUR",E6*$C$21,E6)+'29_Логистика'!$E$5</f>
        <v>10750</v>
      </c>
      <c r="G6" s="509" t="s">
        <v>789</v>
      </c>
      <c r="H6" s="66" t="s">
        <v>790</v>
      </c>
    </row>
    <row r="7" spans="1:9" ht="17">
      <c r="A7" s="232">
        <f t="shared" si="0"/>
        <v>5</v>
      </c>
      <c r="B7" s="233" t="s">
        <v>387</v>
      </c>
      <c r="C7" s="232" t="s">
        <v>281</v>
      </c>
      <c r="D7" s="232" t="s">
        <v>392</v>
      </c>
      <c r="E7" s="234">
        <v>19822</v>
      </c>
      <c r="F7" s="234">
        <f>IF(D7="EUR",E7*$C$21,E7)+'29_Логистика'!$E$5</f>
        <v>22822</v>
      </c>
      <c r="G7" s="509" t="s">
        <v>791</v>
      </c>
      <c r="H7" s="66" t="s">
        <v>792</v>
      </c>
    </row>
    <row r="8" spans="1:9" ht="17">
      <c r="A8" s="232">
        <f t="shared" si="0"/>
        <v>6</v>
      </c>
      <c r="B8" s="233" t="s">
        <v>388</v>
      </c>
      <c r="C8" s="232" t="s">
        <v>281</v>
      </c>
      <c r="D8" s="232" t="s">
        <v>392</v>
      </c>
      <c r="E8" s="234">
        <v>526000</v>
      </c>
      <c r="F8" s="234">
        <f>IF(D8="EUR",E8*$C$21,E8)+'29_Логистика'!$E$5</f>
        <v>529000</v>
      </c>
      <c r="G8" s="525" t="s">
        <v>793</v>
      </c>
      <c r="H8" s="523" t="s">
        <v>794</v>
      </c>
    </row>
    <row r="9" spans="1:9" ht="34">
      <c r="A9" s="232">
        <f t="shared" si="0"/>
        <v>7</v>
      </c>
      <c r="B9" s="572" t="s">
        <v>857</v>
      </c>
      <c r="C9" s="232" t="s">
        <v>281</v>
      </c>
      <c r="D9" s="232" t="s">
        <v>392</v>
      </c>
      <c r="E9" s="571">
        <f>2400*(1+10%*4)</f>
        <v>3360</v>
      </c>
      <c r="F9" s="234">
        <f>IF(D9="EUR",E9*$C$21,E9)+500</f>
        <v>3860</v>
      </c>
      <c r="G9" s="573" t="s">
        <v>867</v>
      </c>
      <c r="H9" s="524"/>
    </row>
    <row r="10" spans="1:9" ht="32">
      <c r="A10" s="232">
        <f t="shared" si="0"/>
        <v>8</v>
      </c>
      <c r="B10" s="572" t="s">
        <v>860</v>
      </c>
      <c r="C10" s="232" t="s">
        <v>281</v>
      </c>
      <c r="D10" s="232" t="s">
        <v>392</v>
      </c>
      <c r="E10" s="571">
        <v>28000</v>
      </c>
      <c r="F10" s="234">
        <f>IF(D10="EUR",E10*$C$21,E10)+'29_Логистика'!$E$5</f>
        <v>31000</v>
      </c>
      <c r="G10" s="573" t="s">
        <v>793</v>
      </c>
      <c r="H10" s="524" t="s">
        <v>861</v>
      </c>
    </row>
    <row r="11" spans="1:9" ht="17">
      <c r="A11" s="232">
        <f t="shared" si="0"/>
        <v>9</v>
      </c>
      <c r="B11" s="572" t="s">
        <v>862</v>
      </c>
      <c r="C11" s="232" t="s">
        <v>281</v>
      </c>
      <c r="D11" s="232" t="s">
        <v>392</v>
      </c>
      <c r="E11" s="571">
        <v>9900</v>
      </c>
      <c r="F11" s="234">
        <f>IF(D11="EUR",E11*$C$21,E11)+'29_Логистика'!$E$5</f>
        <v>12900</v>
      </c>
      <c r="G11" s="573" t="s">
        <v>863</v>
      </c>
      <c r="H11" s="524"/>
    </row>
    <row r="12" spans="1:9" ht="34">
      <c r="A12" s="232">
        <f t="shared" si="0"/>
        <v>10</v>
      </c>
      <c r="B12" s="572" t="s">
        <v>858</v>
      </c>
      <c r="C12" s="232" t="s">
        <v>281</v>
      </c>
      <c r="D12" s="232" t="s">
        <v>392</v>
      </c>
      <c r="E12" s="571">
        <v>135000</v>
      </c>
      <c r="F12" s="234">
        <f>IF(D12="EUR",E12*$C$21,E12)+'29_Логистика'!$E$5</f>
        <v>138000</v>
      </c>
      <c r="G12" s="573" t="s">
        <v>865</v>
      </c>
      <c r="H12" s="524" t="s">
        <v>864</v>
      </c>
    </row>
    <row r="13" spans="1:9" ht="48">
      <c r="A13" s="232">
        <f t="shared" si="0"/>
        <v>11</v>
      </c>
      <c r="B13" s="572" t="s">
        <v>859</v>
      </c>
      <c r="C13" s="232" t="s">
        <v>281</v>
      </c>
      <c r="D13" s="232" t="s">
        <v>392</v>
      </c>
      <c r="E13" s="571">
        <v>24000</v>
      </c>
      <c r="F13" s="234">
        <f>IF(D13="EUR",E13*$C$21,E13)+'29_Логистика'!$E$5</f>
        <v>27000</v>
      </c>
      <c r="G13" s="569" t="s">
        <v>866</v>
      </c>
      <c r="H13" s="524" t="s">
        <v>866</v>
      </c>
    </row>
    <row r="14" spans="1:9" ht="17">
      <c r="A14" s="232">
        <f t="shared" si="0"/>
        <v>12</v>
      </c>
      <c r="B14" s="233" t="s">
        <v>89</v>
      </c>
      <c r="C14" s="232" t="s">
        <v>60</v>
      </c>
      <c r="D14" s="232" t="s">
        <v>392</v>
      </c>
      <c r="E14" s="445">
        <f>'23-3_Эл-Эн_Т'!J4/1000</f>
        <v>6.0335910444770287</v>
      </c>
      <c r="F14" s="445">
        <f>IF(D14="EUR",E14*$C$21,E14)</f>
        <v>6.0335910444770287</v>
      </c>
      <c r="G14" s="525" t="s">
        <v>795</v>
      </c>
      <c r="H14" s="526" t="str">
        <f>'23-3_Эл-Эн_Т'!K4</f>
        <v>https://old.ulenergo.ru/tseny-tarify</v>
      </c>
      <c r="I14" s="229">
        <v>3.86</v>
      </c>
    </row>
    <row r="15" spans="1:9" ht="20">
      <c r="A15" s="232">
        <f t="shared" si="0"/>
        <v>13</v>
      </c>
      <c r="B15" s="233" t="s">
        <v>90</v>
      </c>
      <c r="C15" s="232" t="s">
        <v>390</v>
      </c>
      <c r="D15" s="232" t="s">
        <v>392</v>
      </c>
      <c r="E15" s="444">
        <f>'24-5_Газ_Т'!F3/1000</f>
        <v>6.5421700000000005</v>
      </c>
      <c r="F15" s="444">
        <f>IF(D15="EUR",E15*$C$21,E15)</f>
        <v>6.5421700000000005</v>
      </c>
      <c r="G15" s="525" t="s">
        <v>795</v>
      </c>
      <c r="H15" s="523" t="s">
        <v>796</v>
      </c>
    </row>
    <row r="16" spans="1:9" ht="51">
      <c r="A16" s="232">
        <f t="shared" si="0"/>
        <v>14</v>
      </c>
      <c r="B16" s="233" t="s">
        <v>91</v>
      </c>
      <c r="C16" s="232" t="s">
        <v>390</v>
      </c>
      <c r="D16" s="232" t="s">
        <v>392</v>
      </c>
      <c r="E16" s="234">
        <v>0</v>
      </c>
      <c r="F16" s="234">
        <v>0</v>
      </c>
      <c r="G16" s="699" t="s">
        <v>1121</v>
      </c>
      <c r="I16" s="66" t="s">
        <v>750</v>
      </c>
    </row>
    <row r="17" spans="1:8" ht="20">
      <c r="A17" s="232">
        <f t="shared" si="0"/>
        <v>15</v>
      </c>
      <c r="B17" s="233" t="s">
        <v>92</v>
      </c>
      <c r="C17" s="232" t="s">
        <v>390</v>
      </c>
      <c r="D17" s="232" t="s">
        <v>392</v>
      </c>
      <c r="E17" s="234">
        <v>22</v>
      </c>
      <c r="F17" s="234">
        <f>IF(D17="EUR",E17*$C$21,E17)</f>
        <v>22</v>
      </c>
      <c r="G17" s="699" t="s">
        <v>1120</v>
      </c>
    </row>
    <row r="18" spans="1:8" ht="48">
      <c r="A18" s="232">
        <f t="shared" si="0"/>
        <v>16</v>
      </c>
      <c r="B18" s="694" t="s">
        <v>1117</v>
      </c>
      <c r="C18" s="699" t="s">
        <v>227</v>
      </c>
      <c r="D18" s="232" t="s">
        <v>392</v>
      </c>
      <c r="E18" s="234">
        <v>28</v>
      </c>
      <c r="F18" s="234">
        <f>E18*1.05</f>
        <v>29.400000000000002</v>
      </c>
      <c r="G18" s="699" t="s">
        <v>1119</v>
      </c>
      <c r="H18" s="637" t="s">
        <v>1118</v>
      </c>
    </row>
    <row r="19" spans="1:8" ht="32">
      <c r="A19" s="232">
        <f t="shared" si="0"/>
        <v>17</v>
      </c>
      <c r="B19" s="694" t="s">
        <v>1180</v>
      </c>
      <c r="C19" s="232" t="s">
        <v>227</v>
      </c>
      <c r="D19" s="232" t="s">
        <v>392</v>
      </c>
      <c r="E19" s="234">
        <v>409</v>
      </c>
      <c r="F19" s="234">
        <f>IF(D19="EUR",E19*$C$21,E19)</f>
        <v>409</v>
      </c>
      <c r="G19" s="576" t="s">
        <v>557</v>
      </c>
      <c r="H19" s="533" t="s">
        <v>868</v>
      </c>
    </row>
    <row r="20" spans="1:8">
      <c r="A20" s="695"/>
      <c r="B20" s="696"/>
      <c r="C20" s="695"/>
      <c r="D20" s="695"/>
      <c r="E20" s="697"/>
      <c r="F20" s="697"/>
      <c r="G20" s="698"/>
      <c r="H20" s="637"/>
    </row>
    <row r="21" spans="1:8" ht="21" customHeight="1">
      <c r="B21" s="238" t="s">
        <v>98</v>
      </c>
      <c r="C21" s="238">
        <f>'0_Допущения'!C12</f>
        <v>102.0271</v>
      </c>
    </row>
    <row r="22" spans="1:8" ht="17">
      <c r="B22" s="229" t="s">
        <v>396</v>
      </c>
      <c r="C22" s="238">
        <f>'0_Допущения'!C13</f>
        <v>90.690600000000003</v>
      </c>
    </row>
  </sheetData>
  <mergeCells count="1">
    <mergeCell ref="A1:D1"/>
  </mergeCells>
  <hyperlinks>
    <hyperlink ref="I16" r:id="rId1" xr:uid="{6DF55A51-CE82-FC44-9830-0601A74976D6}"/>
    <hyperlink ref="H6" r:id="rId2" xr:uid="{769411D3-2E9A-174B-AD99-3CF66CEBFC8B}"/>
    <hyperlink ref="H7" r:id="rId3" xr:uid="{EB43D8F0-B03A-B249-9957-F034BA8A790D}"/>
    <hyperlink ref="H8" r:id="rId4" xr:uid="{F4A89156-8BCE-C545-9C1A-14CBD758383A}"/>
    <hyperlink ref="H15" location="Газ!A1" display="Газ!A1" xr:uid="{BAB19599-FBE0-454F-83FA-35B27168B7AC}"/>
    <hyperlink ref="H10" r:id="rId5" xr:uid="{CE05B7DE-1CD1-3E4B-9603-344F8DE93180}"/>
    <hyperlink ref="H12" r:id="rId6" xr:uid="{35DF72D6-10C1-964F-A20F-B67030842316}"/>
    <hyperlink ref="H13" r:id="rId7" xr:uid="{6E1C4DFA-B15E-5146-8837-C19A724D7229}"/>
    <hyperlink ref="G13" r:id="rId8" xr:uid="{E77AD145-0800-6544-A07F-0DBB16DDBA44}"/>
    <hyperlink ref="H19" r:id="rId9" xr:uid="{3B2EA37F-A041-BC4D-AE8F-052F42D031C0}"/>
    <hyperlink ref="H18" r:id="rId10" xr:uid="{6AE2C164-0F88-5C48-ADF6-FE845D2B1B8C}"/>
  </hyperlinks>
  <pageMargins left="0.7" right="0.7" top="0.75" bottom="0.75" header="0.3" footer="0.3"/>
  <pageSetup paperSize="9" orientation="landscape" horizontalDpi="0" verticalDpi="0"/>
  <legacyDrawing r:id="rId1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AB299-F543-0945-B05D-2C54BF47A95B}">
  <sheetPr>
    <pageSetUpPr fitToPage="1"/>
  </sheetPr>
  <dimension ref="A1:AE35"/>
  <sheetViews>
    <sheetView topLeftCell="C2" workbookViewId="0">
      <selection activeCell="W1" sqref="W1:Z5"/>
    </sheetView>
  </sheetViews>
  <sheetFormatPr baseColWidth="10" defaultRowHeight="13"/>
  <cols>
    <col min="1" max="1" width="5.6640625" style="511" bestFit="1" customWidth="1"/>
    <col min="2" max="2" width="14.1640625" style="511" customWidth="1"/>
    <col min="3" max="3" width="36.6640625" style="511" bestFit="1" customWidth="1"/>
    <col min="4" max="4" width="10" style="511" customWidth="1"/>
    <col min="5" max="5" width="7.83203125" style="511" customWidth="1"/>
    <col min="6" max="6" width="8.1640625" style="511" customWidth="1"/>
    <col min="7" max="12" width="6.6640625" style="511" bestFit="1" customWidth="1"/>
    <col min="13" max="13" width="8.33203125" style="511" bestFit="1" customWidth="1"/>
    <col min="14" max="14" width="7.1640625" style="511" bestFit="1" customWidth="1"/>
    <col min="15" max="15" width="6.6640625" style="511" bestFit="1" customWidth="1"/>
    <col min="16" max="16" width="7.5" style="511" bestFit="1" customWidth="1"/>
    <col min="17" max="17" width="6.6640625" style="511" bestFit="1" customWidth="1"/>
    <col min="18" max="18" width="8" style="511" bestFit="1" customWidth="1"/>
    <col min="19" max="21" width="6.6640625" style="511" bestFit="1" customWidth="1"/>
    <col min="22" max="22" width="12.6640625" style="511" bestFit="1" customWidth="1"/>
    <col min="23" max="23" width="18.5" style="511" customWidth="1"/>
    <col min="24" max="24" width="15" style="511" customWidth="1"/>
    <col min="25" max="25" width="8.83203125" style="511" customWidth="1"/>
    <col min="26" max="26" width="45.5" style="511" customWidth="1"/>
    <col min="27" max="256" width="8.83203125" style="511" customWidth="1"/>
    <col min="257" max="16384" width="10.83203125" style="511"/>
  </cols>
  <sheetData>
    <row r="1" spans="1:31" ht="34" customHeight="1">
      <c r="A1" s="821" t="s">
        <v>751</v>
      </c>
      <c r="B1" s="821"/>
      <c r="C1" s="821"/>
      <c r="D1" s="821"/>
      <c r="E1" s="821"/>
      <c r="F1" s="821"/>
      <c r="G1" s="821"/>
      <c r="H1" s="821"/>
      <c r="I1" s="821"/>
      <c r="J1" s="821"/>
      <c r="K1" s="821"/>
      <c r="L1" s="821"/>
      <c r="M1" s="821"/>
      <c r="N1" s="821"/>
      <c r="O1" s="821"/>
      <c r="P1" s="821"/>
      <c r="Q1" s="821"/>
      <c r="R1" s="821"/>
      <c r="S1" s="821"/>
      <c r="T1" s="821"/>
      <c r="U1" s="821"/>
      <c r="V1" s="821"/>
      <c r="W1" s="822" t="s">
        <v>1171</v>
      </c>
      <c r="X1" s="822"/>
      <c r="Y1" s="822"/>
      <c r="Z1" s="822"/>
      <c r="AA1" s="740"/>
      <c r="AB1" s="740"/>
      <c r="AC1" s="740"/>
      <c r="AD1" s="740"/>
      <c r="AE1" s="740"/>
    </row>
    <row r="2" spans="1:31" ht="33" customHeight="1">
      <c r="A2" s="511" t="s">
        <v>752</v>
      </c>
      <c r="W2" s="737" t="s">
        <v>1168</v>
      </c>
      <c r="X2" s="522" t="s">
        <v>1</v>
      </c>
      <c r="Y2" s="522" t="s">
        <v>617</v>
      </c>
      <c r="Z2" s="522" t="s">
        <v>877</v>
      </c>
      <c r="AA2" s="636"/>
      <c r="AB2" s="636"/>
    </row>
    <row r="3" spans="1:31" ht="16" customHeight="1">
      <c r="A3" s="820" t="s">
        <v>752</v>
      </c>
      <c r="B3" s="820" t="s">
        <v>752</v>
      </c>
      <c r="C3" s="820" t="s">
        <v>752</v>
      </c>
      <c r="D3" s="820" t="s">
        <v>752</v>
      </c>
      <c r="E3" s="820" t="s">
        <v>631</v>
      </c>
      <c r="F3" s="820" t="s">
        <v>752</v>
      </c>
      <c r="G3" s="820" t="s">
        <v>752</v>
      </c>
      <c r="H3" s="820" t="s">
        <v>752</v>
      </c>
      <c r="I3" s="820" t="s">
        <v>752</v>
      </c>
      <c r="J3" s="820" t="s">
        <v>752</v>
      </c>
      <c r="K3" s="820" t="s">
        <v>752</v>
      </c>
      <c r="L3" s="820" t="s">
        <v>752</v>
      </c>
      <c r="M3" s="820" t="s">
        <v>752</v>
      </c>
      <c r="N3" s="820" t="s">
        <v>752</v>
      </c>
      <c r="O3" s="820" t="s">
        <v>752</v>
      </c>
      <c r="P3" s="820" t="s">
        <v>752</v>
      </c>
      <c r="Q3" s="820" t="s">
        <v>632</v>
      </c>
      <c r="R3" s="820" t="s">
        <v>752</v>
      </c>
      <c r="S3" s="820" t="s">
        <v>752</v>
      </c>
      <c r="T3" s="820" t="s">
        <v>752</v>
      </c>
      <c r="U3" s="820" t="s">
        <v>752</v>
      </c>
      <c r="V3" s="519"/>
      <c r="W3" s="738" t="s">
        <v>1169</v>
      </c>
      <c r="X3" s="520" t="s">
        <v>662</v>
      </c>
      <c r="Y3" s="521">
        <v>14693.37</v>
      </c>
      <c r="Z3" s="239" t="s">
        <v>787</v>
      </c>
      <c r="AA3" s="636"/>
      <c r="AB3" s="636"/>
    </row>
    <row r="4" spans="1:31" ht="28" customHeight="1">
      <c r="A4" s="820" t="s">
        <v>752</v>
      </c>
      <c r="B4" s="820" t="s">
        <v>752</v>
      </c>
      <c r="C4" s="820" t="s">
        <v>752</v>
      </c>
      <c r="D4" s="820" t="s">
        <v>752</v>
      </c>
      <c r="E4" s="517" t="s">
        <v>604</v>
      </c>
      <c r="F4" s="517" t="s">
        <v>605</v>
      </c>
      <c r="G4" s="517" t="s">
        <v>606</v>
      </c>
      <c r="H4" s="517" t="s">
        <v>607</v>
      </c>
      <c r="I4" s="517" t="s">
        <v>608</v>
      </c>
      <c r="J4" s="517" t="s">
        <v>609</v>
      </c>
      <c r="K4" s="517" t="s">
        <v>598</v>
      </c>
      <c r="L4" s="517" t="s">
        <v>599</v>
      </c>
      <c r="M4" s="517" t="s">
        <v>600</v>
      </c>
      <c r="N4" s="517" t="s">
        <v>601</v>
      </c>
      <c r="O4" s="517" t="s">
        <v>602</v>
      </c>
      <c r="P4" s="517" t="s">
        <v>603</v>
      </c>
      <c r="Q4" s="517" t="s">
        <v>604</v>
      </c>
      <c r="R4" s="517" t="s">
        <v>605</v>
      </c>
      <c r="S4" s="517" t="s">
        <v>606</v>
      </c>
      <c r="T4" s="517" t="s">
        <v>607</v>
      </c>
      <c r="U4" s="517" t="s">
        <v>608</v>
      </c>
      <c r="V4" s="739" t="s">
        <v>753</v>
      </c>
      <c r="W4" s="738" t="s">
        <v>1170</v>
      </c>
      <c r="X4" s="520" t="s">
        <v>662</v>
      </c>
      <c r="Y4" s="521">
        <v>10350</v>
      </c>
      <c r="Z4" s="239" t="s">
        <v>1172</v>
      </c>
      <c r="AA4" s="636"/>
      <c r="AB4" s="636"/>
    </row>
    <row r="5" spans="1:31" ht="32" customHeight="1">
      <c r="A5" s="820" t="s">
        <v>754</v>
      </c>
      <c r="B5" s="820" t="s">
        <v>755</v>
      </c>
      <c r="C5" s="516" t="s">
        <v>756</v>
      </c>
      <c r="D5" s="517" t="s">
        <v>559</v>
      </c>
      <c r="E5" s="512">
        <v>16247.74</v>
      </c>
      <c r="F5" s="512">
        <v>16017.34</v>
      </c>
      <c r="G5" s="512">
        <v>16369.98</v>
      </c>
      <c r="H5" s="512">
        <v>16808.009999999998</v>
      </c>
      <c r="I5" s="512">
        <v>16846.93</v>
      </c>
      <c r="J5" s="512">
        <v>16302.72</v>
      </c>
      <c r="K5" s="512">
        <v>16448.169999999998</v>
      </c>
      <c r="L5" s="512">
        <v>16107.12</v>
      </c>
      <c r="M5" s="512">
        <v>14242.9</v>
      </c>
      <c r="N5" s="512">
        <v>12613.68</v>
      </c>
      <c r="O5" s="512">
        <v>11778.55</v>
      </c>
      <c r="P5" s="512">
        <v>11893.95</v>
      </c>
      <c r="Q5" s="512">
        <v>12327.98</v>
      </c>
      <c r="R5" s="512">
        <v>12370.46</v>
      </c>
      <c r="S5" s="512">
        <v>12283.3</v>
      </c>
      <c r="T5" s="512">
        <v>12433.37</v>
      </c>
      <c r="U5" s="512">
        <v>12209.69</v>
      </c>
      <c r="V5" s="744">
        <f>AVERAGE(E5:U5)</f>
        <v>14311.875882352941</v>
      </c>
      <c r="W5" s="741" t="s">
        <v>1173</v>
      </c>
      <c r="X5" s="742" t="s">
        <v>662</v>
      </c>
      <c r="Y5" s="743">
        <f>(Y3+Y4)/2</f>
        <v>12521.685000000001</v>
      </c>
      <c r="Z5" s="636"/>
      <c r="AA5" s="636"/>
      <c r="AB5" s="636"/>
    </row>
    <row r="6" spans="1:31" ht="14">
      <c r="A6" s="820" t="s">
        <v>754</v>
      </c>
      <c r="B6" s="820" t="s">
        <v>755</v>
      </c>
      <c r="C6" s="518" t="s">
        <v>757</v>
      </c>
      <c r="D6" s="517" t="s">
        <v>559</v>
      </c>
      <c r="E6" s="512">
        <v>16012.72</v>
      </c>
      <c r="F6" s="512">
        <v>16010.04</v>
      </c>
      <c r="G6" s="512">
        <v>16165.19</v>
      </c>
      <c r="H6" s="512">
        <v>16699.62</v>
      </c>
      <c r="I6" s="512">
        <v>16635.82</v>
      </c>
      <c r="J6" s="512">
        <v>16383.77</v>
      </c>
      <c r="K6" s="512">
        <v>16318.31</v>
      </c>
      <c r="L6" s="512">
        <v>16015.05</v>
      </c>
      <c r="M6" s="512">
        <v>14994.6</v>
      </c>
      <c r="N6" s="512">
        <v>13003.37</v>
      </c>
      <c r="O6" s="512">
        <v>11601.09</v>
      </c>
      <c r="P6" s="512">
        <v>11517.8</v>
      </c>
      <c r="Q6" s="512">
        <v>11855.5</v>
      </c>
      <c r="R6" s="512">
        <v>12038.89</v>
      </c>
      <c r="S6" s="512">
        <v>11942.59</v>
      </c>
      <c r="T6" s="512">
        <v>11825.56</v>
      </c>
      <c r="U6" s="512">
        <v>11487.01</v>
      </c>
      <c r="V6" s="512"/>
      <c r="W6" s="636"/>
      <c r="X6" s="636"/>
      <c r="Y6" s="636"/>
      <c r="Z6" s="636"/>
      <c r="AA6" s="636"/>
      <c r="AB6" s="636"/>
    </row>
    <row r="7" spans="1:31" ht="14">
      <c r="A7" s="820" t="s">
        <v>754</v>
      </c>
      <c r="B7" s="820" t="s">
        <v>755</v>
      </c>
      <c r="C7" s="518" t="s">
        <v>758</v>
      </c>
      <c r="D7" s="517" t="s">
        <v>559</v>
      </c>
      <c r="E7" s="512">
        <v>15959.73</v>
      </c>
      <c r="F7" s="512">
        <v>15914.9</v>
      </c>
      <c r="G7" s="512">
        <v>16108.63</v>
      </c>
      <c r="H7" s="512">
        <v>16257.08</v>
      </c>
      <c r="I7" s="512">
        <v>16246.85</v>
      </c>
      <c r="J7" s="512">
        <v>16001.06</v>
      </c>
      <c r="K7" s="512">
        <v>15029.61</v>
      </c>
      <c r="L7" s="512">
        <v>15419.11</v>
      </c>
      <c r="M7" s="512">
        <v>13425.03</v>
      </c>
      <c r="N7" s="512">
        <v>12247.52</v>
      </c>
      <c r="O7" s="512">
        <v>10414.700000000001</v>
      </c>
      <c r="P7" s="512">
        <v>10527.24</v>
      </c>
      <c r="Q7" s="512">
        <v>10482.69</v>
      </c>
      <c r="R7" s="512">
        <v>10836.4</v>
      </c>
      <c r="S7" s="512">
        <v>10657.61</v>
      </c>
      <c r="T7" s="512">
        <v>10324.11</v>
      </c>
      <c r="U7" s="512">
        <v>10026.31</v>
      </c>
      <c r="V7" s="512"/>
      <c r="W7" s="636"/>
      <c r="X7" s="636"/>
      <c r="Y7" s="636"/>
      <c r="Z7" s="636"/>
      <c r="AA7" s="636"/>
      <c r="AB7" s="636"/>
    </row>
    <row r="8" spans="1:31" ht="14">
      <c r="A8" s="820" t="s">
        <v>754</v>
      </c>
      <c r="B8" s="820" t="s">
        <v>755</v>
      </c>
      <c r="C8" s="518" t="s">
        <v>759</v>
      </c>
      <c r="D8" s="517" t="s">
        <v>559</v>
      </c>
      <c r="E8" s="512">
        <v>16985.75</v>
      </c>
      <c r="F8" s="512" t="s">
        <v>752</v>
      </c>
      <c r="G8" s="512" t="s">
        <v>752</v>
      </c>
      <c r="H8" s="512" t="s">
        <v>752</v>
      </c>
      <c r="I8" s="512" t="s">
        <v>752</v>
      </c>
      <c r="J8" s="512" t="s">
        <v>752</v>
      </c>
      <c r="K8" s="512" t="s">
        <v>752</v>
      </c>
      <c r="L8" s="512" t="s">
        <v>752</v>
      </c>
      <c r="M8" s="512" t="s">
        <v>752</v>
      </c>
      <c r="N8" s="512" t="s">
        <v>752</v>
      </c>
      <c r="O8" s="512" t="s">
        <v>752</v>
      </c>
      <c r="P8" s="512" t="s">
        <v>752</v>
      </c>
      <c r="Q8" s="512" t="s">
        <v>752</v>
      </c>
      <c r="R8" s="512" t="s">
        <v>752</v>
      </c>
      <c r="S8" s="512" t="s">
        <v>752</v>
      </c>
      <c r="T8" s="512" t="s">
        <v>752</v>
      </c>
      <c r="U8" s="512" t="s">
        <v>752</v>
      </c>
      <c r="V8" s="512"/>
      <c r="W8" s="636"/>
      <c r="X8" s="636"/>
      <c r="Y8" s="636"/>
      <c r="Z8" s="636"/>
      <c r="AA8" s="636"/>
      <c r="AB8" s="636"/>
    </row>
    <row r="9" spans="1:31" ht="14">
      <c r="A9" s="820" t="s">
        <v>754</v>
      </c>
      <c r="B9" s="820" t="s">
        <v>755</v>
      </c>
      <c r="C9" s="518" t="s">
        <v>760</v>
      </c>
      <c r="D9" s="517" t="s">
        <v>559</v>
      </c>
      <c r="E9" s="512">
        <v>15366.6</v>
      </c>
      <c r="F9" s="512">
        <v>15109.59</v>
      </c>
      <c r="G9" s="512">
        <v>15363.29</v>
      </c>
      <c r="H9" s="512">
        <v>16168.26</v>
      </c>
      <c r="I9" s="512">
        <v>15987.62</v>
      </c>
      <c r="J9" s="512">
        <v>15771.98</v>
      </c>
      <c r="K9" s="512">
        <v>15022.99</v>
      </c>
      <c r="L9" s="512" t="s">
        <v>752</v>
      </c>
      <c r="M9" s="512">
        <v>11081.68</v>
      </c>
      <c r="N9" s="512">
        <v>12155.53</v>
      </c>
      <c r="O9" s="512">
        <v>10811.92</v>
      </c>
      <c r="P9" s="512">
        <v>10568.31</v>
      </c>
      <c r="Q9" s="512">
        <v>12767.19</v>
      </c>
      <c r="R9" s="512">
        <v>11616.95</v>
      </c>
      <c r="S9" s="512">
        <v>11784.92</v>
      </c>
      <c r="T9" s="512">
        <v>12975.31</v>
      </c>
      <c r="U9" s="512">
        <v>12942.96</v>
      </c>
      <c r="V9" s="512"/>
      <c r="W9" s="636"/>
      <c r="X9" s="636"/>
      <c r="Y9" s="636"/>
      <c r="Z9" s="636"/>
      <c r="AA9" s="636"/>
      <c r="AB9" s="636"/>
    </row>
    <row r="10" spans="1:31" ht="14">
      <c r="A10" s="820" t="s">
        <v>754</v>
      </c>
      <c r="B10" s="820" t="s">
        <v>755</v>
      </c>
      <c r="C10" s="518" t="s">
        <v>761</v>
      </c>
      <c r="D10" s="517" t="s">
        <v>559</v>
      </c>
      <c r="E10" s="512" t="s">
        <v>752</v>
      </c>
      <c r="F10" s="512" t="s">
        <v>752</v>
      </c>
      <c r="G10" s="512" t="s">
        <v>752</v>
      </c>
      <c r="H10" s="512" t="s">
        <v>752</v>
      </c>
      <c r="I10" s="512" t="s">
        <v>752</v>
      </c>
      <c r="J10" s="512" t="s">
        <v>752</v>
      </c>
      <c r="K10" s="512" t="s">
        <v>752</v>
      </c>
      <c r="L10" s="512" t="s">
        <v>752</v>
      </c>
      <c r="M10" s="512" t="s">
        <v>752</v>
      </c>
      <c r="N10" s="512" t="s">
        <v>752</v>
      </c>
      <c r="O10" s="512" t="s">
        <v>752</v>
      </c>
      <c r="P10" s="512" t="s">
        <v>752</v>
      </c>
      <c r="Q10" s="512" t="s">
        <v>752</v>
      </c>
      <c r="R10" s="512" t="s">
        <v>752</v>
      </c>
      <c r="S10" s="512">
        <v>12206.22</v>
      </c>
      <c r="T10" s="512" t="s">
        <v>752</v>
      </c>
      <c r="U10" s="512" t="s">
        <v>752</v>
      </c>
      <c r="V10" s="512"/>
      <c r="W10" s="636"/>
      <c r="X10" s="636"/>
      <c r="Y10" s="636"/>
      <c r="Z10" s="636"/>
      <c r="AA10" s="636"/>
      <c r="AB10" s="636"/>
    </row>
    <row r="11" spans="1:31" ht="14">
      <c r="A11" s="820" t="s">
        <v>754</v>
      </c>
      <c r="B11" s="820" t="s">
        <v>755</v>
      </c>
      <c r="C11" s="518" t="s">
        <v>762</v>
      </c>
      <c r="D11" s="517" t="s">
        <v>559</v>
      </c>
      <c r="E11" s="512" t="s">
        <v>752</v>
      </c>
      <c r="F11" s="512" t="s">
        <v>752</v>
      </c>
      <c r="G11" s="512">
        <v>15890.89</v>
      </c>
      <c r="H11" s="512">
        <v>16561.509999999998</v>
      </c>
      <c r="I11" s="512" t="s">
        <v>752</v>
      </c>
      <c r="J11" s="512" t="s">
        <v>752</v>
      </c>
      <c r="K11" s="512">
        <v>14321.42</v>
      </c>
      <c r="L11" s="512" t="s">
        <v>752</v>
      </c>
      <c r="M11" s="512" t="s">
        <v>752</v>
      </c>
      <c r="N11" s="512" t="s">
        <v>752</v>
      </c>
      <c r="O11" s="512">
        <v>13997.35</v>
      </c>
      <c r="P11" s="512" t="s">
        <v>752</v>
      </c>
      <c r="Q11" s="512" t="s">
        <v>752</v>
      </c>
      <c r="R11" s="512" t="s">
        <v>752</v>
      </c>
      <c r="S11" s="512">
        <v>11115.02</v>
      </c>
      <c r="T11" s="512" t="s">
        <v>752</v>
      </c>
      <c r="U11" s="512">
        <v>10739.45</v>
      </c>
      <c r="V11" s="512"/>
    </row>
    <row r="12" spans="1:31" ht="14">
      <c r="A12" s="820" t="s">
        <v>754</v>
      </c>
      <c r="B12" s="820" t="s">
        <v>755</v>
      </c>
      <c r="C12" s="518" t="s">
        <v>763</v>
      </c>
      <c r="D12" s="517" t="s">
        <v>559</v>
      </c>
      <c r="E12" s="512" t="s">
        <v>752</v>
      </c>
      <c r="F12" s="512">
        <v>17131.810000000001</v>
      </c>
      <c r="G12" s="512" t="s">
        <v>752</v>
      </c>
      <c r="H12" s="512" t="s">
        <v>752</v>
      </c>
      <c r="I12" s="512">
        <v>19492.38</v>
      </c>
      <c r="J12" s="512" t="s">
        <v>752</v>
      </c>
      <c r="K12" s="512" t="s">
        <v>752</v>
      </c>
      <c r="L12" s="512" t="s">
        <v>752</v>
      </c>
      <c r="M12" s="512" t="s">
        <v>752</v>
      </c>
      <c r="N12" s="512">
        <v>16356.76</v>
      </c>
      <c r="O12" s="512">
        <v>14872.72</v>
      </c>
      <c r="P12" s="512">
        <v>15283.03</v>
      </c>
      <c r="Q12" s="512" t="s">
        <v>752</v>
      </c>
      <c r="R12" s="512" t="s">
        <v>752</v>
      </c>
      <c r="S12" s="512">
        <v>15889.52</v>
      </c>
      <c r="T12" s="512" t="s">
        <v>752</v>
      </c>
      <c r="U12" s="512" t="s">
        <v>752</v>
      </c>
      <c r="V12" s="512"/>
    </row>
    <row r="13" spans="1:31" ht="14">
      <c r="A13" s="820" t="s">
        <v>754</v>
      </c>
      <c r="B13" s="820" t="s">
        <v>755</v>
      </c>
      <c r="C13" s="518" t="s">
        <v>764</v>
      </c>
      <c r="D13" s="517" t="s">
        <v>559</v>
      </c>
      <c r="E13" s="512">
        <v>16388.63</v>
      </c>
      <c r="F13" s="512" t="s">
        <v>752</v>
      </c>
      <c r="G13" s="512">
        <v>16661.54</v>
      </c>
      <c r="H13" s="512">
        <v>16869.509999999998</v>
      </c>
      <c r="I13" s="512">
        <v>16622.72</v>
      </c>
      <c r="J13" s="512" t="s">
        <v>752</v>
      </c>
      <c r="K13" s="512" t="s">
        <v>752</v>
      </c>
      <c r="L13" s="512" t="s">
        <v>752</v>
      </c>
      <c r="M13" s="512" t="s">
        <v>752</v>
      </c>
      <c r="N13" s="512" t="s">
        <v>752</v>
      </c>
      <c r="O13" s="512">
        <v>12954.2</v>
      </c>
      <c r="P13" s="512">
        <v>12779.18</v>
      </c>
      <c r="Q13" s="512">
        <v>13604.73</v>
      </c>
      <c r="R13" s="512">
        <v>13302.54</v>
      </c>
      <c r="S13" s="512">
        <v>13125.7</v>
      </c>
      <c r="T13" s="512">
        <v>13138.02</v>
      </c>
      <c r="U13" s="512">
        <v>12985.02</v>
      </c>
      <c r="V13" s="512"/>
    </row>
    <row r="14" spans="1:31" ht="14">
      <c r="A14" s="820" t="s">
        <v>754</v>
      </c>
      <c r="B14" s="820" t="s">
        <v>755</v>
      </c>
      <c r="C14" s="518" t="s">
        <v>765</v>
      </c>
      <c r="D14" s="517" t="s">
        <v>559</v>
      </c>
      <c r="E14" s="512" t="s">
        <v>752</v>
      </c>
      <c r="F14" s="512" t="s">
        <v>752</v>
      </c>
      <c r="G14" s="512" t="s">
        <v>752</v>
      </c>
      <c r="H14" s="512" t="s">
        <v>752</v>
      </c>
      <c r="I14" s="512" t="s">
        <v>752</v>
      </c>
      <c r="J14" s="512" t="s">
        <v>752</v>
      </c>
      <c r="K14" s="512" t="s">
        <v>752</v>
      </c>
      <c r="L14" s="512" t="s">
        <v>752</v>
      </c>
      <c r="M14" s="512" t="s">
        <v>752</v>
      </c>
      <c r="N14" s="512" t="s">
        <v>752</v>
      </c>
      <c r="O14" s="512" t="s">
        <v>752</v>
      </c>
      <c r="P14" s="512" t="s">
        <v>752</v>
      </c>
      <c r="Q14" s="512" t="s">
        <v>752</v>
      </c>
      <c r="R14" s="512" t="s">
        <v>752</v>
      </c>
      <c r="S14" s="512">
        <v>10457.26</v>
      </c>
      <c r="T14" s="512" t="s">
        <v>752</v>
      </c>
      <c r="U14" s="512" t="s">
        <v>752</v>
      </c>
      <c r="V14" s="512"/>
    </row>
    <row r="15" spans="1:31" ht="14">
      <c r="A15" s="820" t="s">
        <v>754</v>
      </c>
      <c r="B15" s="820" t="s">
        <v>755</v>
      </c>
      <c r="C15" s="518" t="s">
        <v>766</v>
      </c>
      <c r="D15" s="517" t="s">
        <v>559</v>
      </c>
      <c r="E15" s="512">
        <v>16723.03</v>
      </c>
      <c r="F15" s="512">
        <v>16514.669999999998</v>
      </c>
      <c r="G15" s="512">
        <v>16540.240000000002</v>
      </c>
      <c r="H15" s="512">
        <v>17212.29</v>
      </c>
      <c r="I15" s="512">
        <v>17234.23</v>
      </c>
      <c r="J15" s="512">
        <v>17052.34</v>
      </c>
      <c r="K15" s="512">
        <v>17633.64</v>
      </c>
      <c r="L15" s="512">
        <v>17543.45</v>
      </c>
      <c r="M15" s="512" t="s">
        <v>752</v>
      </c>
      <c r="N15" s="512" t="s">
        <v>752</v>
      </c>
      <c r="O15" s="512">
        <v>15790.55</v>
      </c>
      <c r="P15" s="512">
        <v>16187.85</v>
      </c>
      <c r="Q15" s="512" t="s">
        <v>752</v>
      </c>
      <c r="R15" s="512">
        <v>15186.81</v>
      </c>
      <c r="S15" s="512">
        <v>15034.7</v>
      </c>
      <c r="T15" s="512">
        <v>14506.98</v>
      </c>
      <c r="U15" s="512">
        <v>14117.73</v>
      </c>
      <c r="V15" s="512"/>
    </row>
    <row r="16" spans="1:31" ht="14">
      <c r="A16" s="820" t="s">
        <v>754</v>
      </c>
      <c r="B16" s="820" t="s">
        <v>755</v>
      </c>
      <c r="C16" s="518" t="s">
        <v>767</v>
      </c>
      <c r="D16" s="517" t="s">
        <v>559</v>
      </c>
      <c r="E16" s="512">
        <v>18583.46</v>
      </c>
      <c r="F16" s="512">
        <v>16481.71</v>
      </c>
      <c r="G16" s="512">
        <v>18609.669999999998</v>
      </c>
      <c r="H16" s="512">
        <v>16688.32</v>
      </c>
      <c r="I16" s="512">
        <v>18284.560000000001</v>
      </c>
      <c r="J16" s="512">
        <v>18257.55</v>
      </c>
      <c r="K16" s="512">
        <v>16832.21</v>
      </c>
      <c r="L16" s="512">
        <v>16045.03</v>
      </c>
      <c r="M16" s="512">
        <v>16939.21</v>
      </c>
      <c r="N16" s="512">
        <v>11677.97</v>
      </c>
      <c r="O16" s="512">
        <v>13112.92</v>
      </c>
      <c r="P16" s="512">
        <v>13326.17</v>
      </c>
      <c r="Q16" s="512">
        <v>15576.29</v>
      </c>
      <c r="R16" s="512">
        <v>14235.26</v>
      </c>
      <c r="S16" s="512">
        <v>12922.61</v>
      </c>
      <c r="T16" s="512">
        <v>13214.51</v>
      </c>
      <c r="U16" s="512">
        <v>15003.07</v>
      </c>
      <c r="V16" s="512"/>
    </row>
    <row r="17" spans="1:22" ht="14">
      <c r="A17" s="820" t="s">
        <v>754</v>
      </c>
      <c r="B17" s="820" t="s">
        <v>755</v>
      </c>
      <c r="C17" s="518" t="s">
        <v>768</v>
      </c>
      <c r="D17" s="517" t="s">
        <v>559</v>
      </c>
      <c r="E17" s="512">
        <v>18811.3</v>
      </c>
      <c r="F17" s="512">
        <v>16239.38</v>
      </c>
      <c r="G17" s="512" t="s">
        <v>752</v>
      </c>
      <c r="H17" s="512">
        <v>15902.16</v>
      </c>
      <c r="I17" s="512" t="s">
        <v>752</v>
      </c>
      <c r="J17" s="512" t="s">
        <v>752</v>
      </c>
      <c r="K17" s="512" t="s">
        <v>752</v>
      </c>
      <c r="L17" s="512" t="s">
        <v>752</v>
      </c>
      <c r="M17" s="512" t="s">
        <v>752</v>
      </c>
      <c r="N17" s="512">
        <v>10462.469999999999</v>
      </c>
      <c r="O17" s="512">
        <v>11339.89</v>
      </c>
      <c r="P17" s="512">
        <v>11042.9</v>
      </c>
      <c r="Q17" s="512">
        <v>15615.68</v>
      </c>
      <c r="R17" s="512">
        <v>12406.76</v>
      </c>
      <c r="S17" s="512">
        <v>12060.64</v>
      </c>
      <c r="T17" s="512">
        <v>12613.53</v>
      </c>
      <c r="U17" s="512" t="s">
        <v>752</v>
      </c>
      <c r="V17" s="512"/>
    </row>
    <row r="18" spans="1:22" ht="28">
      <c r="A18" s="820" t="s">
        <v>754</v>
      </c>
      <c r="B18" s="820" t="s">
        <v>755</v>
      </c>
      <c r="C18" s="518" t="s">
        <v>769</v>
      </c>
      <c r="D18" s="517" t="s">
        <v>559</v>
      </c>
      <c r="E18" s="512">
        <v>14906.94</v>
      </c>
      <c r="F18" s="512">
        <v>15152.95</v>
      </c>
      <c r="G18" s="512">
        <v>15970.47</v>
      </c>
      <c r="H18" s="512">
        <v>16405.84</v>
      </c>
      <c r="I18" s="512">
        <v>16308.98</v>
      </c>
      <c r="J18" s="512">
        <v>15366.5</v>
      </c>
      <c r="K18" s="512">
        <v>15090.02</v>
      </c>
      <c r="L18" s="512">
        <v>14780.17</v>
      </c>
      <c r="M18" s="512">
        <v>11845.98</v>
      </c>
      <c r="N18" s="512">
        <v>11088.44</v>
      </c>
      <c r="O18" s="512">
        <v>10924.74</v>
      </c>
      <c r="P18" s="512">
        <v>11862.87</v>
      </c>
      <c r="Q18" s="512">
        <v>11577.84</v>
      </c>
      <c r="R18" s="512">
        <v>12224.83</v>
      </c>
      <c r="S18" s="512">
        <v>12638.64</v>
      </c>
      <c r="T18" s="512">
        <v>13059.61</v>
      </c>
      <c r="U18" s="512">
        <v>13289.66</v>
      </c>
      <c r="V18" s="512"/>
    </row>
    <row r="19" spans="1:22" ht="14">
      <c r="A19" s="820" t="s">
        <v>754</v>
      </c>
      <c r="B19" s="820" t="s">
        <v>755</v>
      </c>
      <c r="C19" s="518" t="s">
        <v>770</v>
      </c>
      <c r="D19" s="517" t="s">
        <v>559</v>
      </c>
      <c r="E19" s="512">
        <v>13181.97</v>
      </c>
      <c r="F19" s="512">
        <v>13204.87</v>
      </c>
      <c r="G19" s="512">
        <v>14592.06</v>
      </c>
      <c r="H19" s="512">
        <v>14602.26</v>
      </c>
      <c r="I19" s="512">
        <v>13707.87</v>
      </c>
      <c r="J19" s="512" t="s">
        <v>752</v>
      </c>
      <c r="K19" s="512" t="s">
        <v>752</v>
      </c>
      <c r="L19" s="512">
        <v>14104.56</v>
      </c>
      <c r="M19" s="512">
        <v>11524.37</v>
      </c>
      <c r="N19" s="512">
        <v>10117.719999999999</v>
      </c>
      <c r="O19" s="512">
        <v>10205.25</v>
      </c>
      <c r="P19" s="512">
        <v>12286.22</v>
      </c>
      <c r="Q19" s="512">
        <v>11544.8</v>
      </c>
      <c r="R19" s="512">
        <v>11815.32</v>
      </c>
      <c r="S19" s="512">
        <v>11929.34</v>
      </c>
      <c r="T19" s="512">
        <v>11550.16</v>
      </c>
      <c r="U19" s="512">
        <v>12559.93</v>
      </c>
      <c r="V19" s="512"/>
    </row>
    <row r="20" spans="1:22" ht="14">
      <c r="A20" s="820" t="s">
        <v>754</v>
      </c>
      <c r="B20" s="820" t="s">
        <v>755</v>
      </c>
      <c r="C20" s="518" t="s">
        <v>771</v>
      </c>
      <c r="D20" s="517" t="s">
        <v>559</v>
      </c>
      <c r="E20" s="512" t="s">
        <v>752</v>
      </c>
      <c r="F20" s="512" t="s">
        <v>752</v>
      </c>
      <c r="G20" s="512" t="s">
        <v>752</v>
      </c>
      <c r="H20" s="512" t="s">
        <v>752</v>
      </c>
      <c r="I20" s="512" t="s">
        <v>752</v>
      </c>
      <c r="J20" s="512" t="s">
        <v>752</v>
      </c>
      <c r="K20" s="512" t="s">
        <v>752</v>
      </c>
      <c r="L20" s="512" t="s">
        <v>752</v>
      </c>
      <c r="M20" s="512" t="s">
        <v>752</v>
      </c>
      <c r="N20" s="512" t="s">
        <v>752</v>
      </c>
      <c r="O20" s="512" t="s">
        <v>752</v>
      </c>
      <c r="P20" s="512" t="s">
        <v>752</v>
      </c>
      <c r="Q20" s="512">
        <v>11249.15</v>
      </c>
      <c r="R20" s="512">
        <v>12441.93</v>
      </c>
      <c r="S20" s="512">
        <v>13400.49</v>
      </c>
      <c r="T20" s="512">
        <v>13869.65</v>
      </c>
      <c r="U20" s="512">
        <v>13729.79</v>
      </c>
      <c r="V20" s="512"/>
    </row>
    <row r="21" spans="1:22" ht="14">
      <c r="A21" s="820" t="s">
        <v>754</v>
      </c>
      <c r="B21" s="820" t="s">
        <v>755</v>
      </c>
      <c r="C21" s="518" t="s">
        <v>772</v>
      </c>
      <c r="D21" s="517" t="s">
        <v>559</v>
      </c>
      <c r="E21" s="512">
        <v>15616.96</v>
      </c>
      <c r="F21" s="512">
        <v>15628.18</v>
      </c>
      <c r="G21" s="512">
        <v>15882.79</v>
      </c>
      <c r="H21" s="512">
        <v>16589.080000000002</v>
      </c>
      <c r="I21" s="512">
        <v>15979.65</v>
      </c>
      <c r="J21" s="512">
        <v>15797.84</v>
      </c>
      <c r="K21" s="512">
        <v>15500.18</v>
      </c>
      <c r="L21" s="512">
        <v>16455.66</v>
      </c>
      <c r="M21" s="512">
        <v>14297.02</v>
      </c>
      <c r="N21" s="512">
        <v>13476.62</v>
      </c>
      <c r="O21" s="512">
        <v>12293.2</v>
      </c>
      <c r="P21" s="512">
        <v>12710.56</v>
      </c>
      <c r="Q21" s="512">
        <v>12694.83</v>
      </c>
      <c r="R21" s="512">
        <v>12783.69</v>
      </c>
      <c r="S21" s="512">
        <v>12568.15</v>
      </c>
      <c r="T21" s="512">
        <v>12599.05</v>
      </c>
      <c r="U21" s="512">
        <v>12793.95</v>
      </c>
      <c r="V21" s="512"/>
    </row>
    <row r="22" spans="1:22" ht="14">
      <c r="A22" s="820" t="s">
        <v>754</v>
      </c>
      <c r="B22" s="820" t="s">
        <v>755</v>
      </c>
      <c r="C22" s="518" t="s">
        <v>773</v>
      </c>
      <c r="D22" s="517" t="s">
        <v>559</v>
      </c>
      <c r="E22" s="512" t="s">
        <v>752</v>
      </c>
      <c r="F22" s="512" t="s">
        <v>752</v>
      </c>
      <c r="G22" s="512" t="s">
        <v>752</v>
      </c>
      <c r="H22" s="512" t="s">
        <v>752</v>
      </c>
      <c r="I22" s="512" t="s">
        <v>752</v>
      </c>
      <c r="J22" s="512" t="s">
        <v>752</v>
      </c>
      <c r="K22" s="512" t="s">
        <v>752</v>
      </c>
      <c r="L22" s="512" t="s">
        <v>752</v>
      </c>
      <c r="M22" s="512" t="s">
        <v>752</v>
      </c>
      <c r="N22" s="512" t="s">
        <v>752</v>
      </c>
      <c r="O22" s="512" t="s">
        <v>752</v>
      </c>
      <c r="P22" s="512" t="s">
        <v>752</v>
      </c>
      <c r="Q22" s="512" t="s">
        <v>752</v>
      </c>
      <c r="R22" s="512" t="s">
        <v>752</v>
      </c>
      <c r="S22" s="512">
        <v>13497.28</v>
      </c>
      <c r="T22" s="512" t="s">
        <v>752</v>
      </c>
      <c r="U22" s="512" t="s">
        <v>752</v>
      </c>
      <c r="V22" s="512"/>
    </row>
    <row r="23" spans="1:22" ht="14">
      <c r="A23" s="820" t="s">
        <v>754</v>
      </c>
      <c r="B23" s="820" t="s">
        <v>755</v>
      </c>
      <c r="C23" s="518" t="s">
        <v>774</v>
      </c>
      <c r="D23" s="517" t="s">
        <v>559</v>
      </c>
      <c r="E23" s="512">
        <v>15728.98</v>
      </c>
      <c r="F23" s="512" t="s">
        <v>752</v>
      </c>
      <c r="G23" s="512" t="s">
        <v>752</v>
      </c>
      <c r="H23" s="512" t="s">
        <v>752</v>
      </c>
      <c r="I23" s="512" t="s">
        <v>752</v>
      </c>
      <c r="J23" s="512" t="s">
        <v>752</v>
      </c>
      <c r="K23" s="512" t="s">
        <v>752</v>
      </c>
      <c r="L23" s="512" t="s">
        <v>752</v>
      </c>
      <c r="M23" s="512">
        <v>16442.400000000001</v>
      </c>
      <c r="N23" s="512">
        <v>13645.9</v>
      </c>
      <c r="O23" s="512">
        <v>13941.87</v>
      </c>
      <c r="P23" s="512" t="s">
        <v>752</v>
      </c>
      <c r="Q23" s="512">
        <v>13417.88</v>
      </c>
      <c r="R23" s="512">
        <v>12547.82</v>
      </c>
      <c r="S23" s="512">
        <v>12247.61</v>
      </c>
      <c r="T23" s="512" t="s">
        <v>752</v>
      </c>
      <c r="U23" s="512" t="s">
        <v>752</v>
      </c>
      <c r="V23" s="512"/>
    </row>
    <row r="24" spans="1:22" ht="14">
      <c r="A24" s="820" t="s">
        <v>754</v>
      </c>
      <c r="B24" s="820" t="s">
        <v>755</v>
      </c>
      <c r="C24" s="518" t="s">
        <v>775</v>
      </c>
      <c r="D24" s="517" t="s">
        <v>559</v>
      </c>
      <c r="E24" s="512">
        <v>15542.08</v>
      </c>
      <c r="F24" s="512">
        <v>14924.11</v>
      </c>
      <c r="G24" s="512">
        <v>15750.34</v>
      </c>
      <c r="H24" s="512">
        <v>16740.86</v>
      </c>
      <c r="I24" s="512">
        <v>15407.96</v>
      </c>
      <c r="J24" s="512">
        <v>15194.93</v>
      </c>
      <c r="K24" s="512">
        <v>15251.86</v>
      </c>
      <c r="L24" s="513">
        <v>15519</v>
      </c>
      <c r="M24" s="512">
        <v>12557.56</v>
      </c>
      <c r="N24" s="512">
        <v>12409.31</v>
      </c>
      <c r="O24" s="512">
        <v>11899.55</v>
      </c>
      <c r="P24" s="512">
        <v>11813.55</v>
      </c>
      <c r="Q24" s="512">
        <v>11552.37</v>
      </c>
      <c r="R24" s="512">
        <v>12436.4</v>
      </c>
      <c r="S24" s="512">
        <v>12467.04</v>
      </c>
      <c r="T24" s="512">
        <v>12507.14</v>
      </c>
      <c r="U24" s="512">
        <v>12468.75</v>
      </c>
      <c r="V24" s="512"/>
    </row>
    <row r="25" spans="1:22" ht="14">
      <c r="A25" s="820" t="s">
        <v>754</v>
      </c>
      <c r="B25" s="820" t="s">
        <v>755</v>
      </c>
      <c r="C25" s="518" t="s">
        <v>776</v>
      </c>
      <c r="D25" s="517" t="s">
        <v>559</v>
      </c>
      <c r="E25" s="512">
        <v>18113.91</v>
      </c>
      <c r="F25" s="512">
        <v>17748.490000000002</v>
      </c>
      <c r="G25" s="513">
        <v>17640</v>
      </c>
      <c r="H25" s="512">
        <v>18284.16</v>
      </c>
      <c r="I25" s="512">
        <v>18834.97</v>
      </c>
      <c r="J25" s="512">
        <v>18231.16</v>
      </c>
      <c r="K25" s="512">
        <v>17526.849999999999</v>
      </c>
      <c r="L25" s="512">
        <v>17673.88</v>
      </c>
      <c r="M25" s="512">
        <v>17357.61</v>
      </c>
      <c r="N25" s="512">
        <v>15407.3</v>
      </c>
      <c r="O25" s="512">
        <v>14785.61</v>
      </c>
      <c r="P25" s="512">
        <v>14487.14</v>
      </c>
      <c r="Q25" s="512">
        <v>15199.99</v>
      </c>
      <c r="R25" s="512">
        <v>15043.46</v>
      </c>
      <c r="S25" s="512">
        <v>11511.89</v>
      </c>
      <c r="T25" s="512">
        <v>14319.2</v>
      </c>
      <c r="U25" s="512">
        <v>14078.07</v>
      </c>
      <c r="V25" s="512"/>
    </row>
    <row r="26" spans="1:22" ht="14">
      <c r="A26" s="820" t="s">
        <v>754</v>
      </c>
      <c r="B26" s="820" t="s">
        <v>755</v>
      </c>
      <c r="C26" s="518" t="s">
        <v>777</v>
      </c>
      <c r="D26" s="517" t="s">
        <v>559</v>
      </c>
      <c r="E26" s="512">
        <v>17798.849999999999</v>
      </c>
      <c r="F26" s="512">
        <v>17180.39</v>
      </c>
      <c r="G26" s="512">
        <v>16826.169999999998</v>
      </c>
      <c r="H26" s="512" t="s">
        <v>752</v>
      </c>
      <c r="I26" s="512" t="s">
        <v>752</v>
      </c>
      <c r="J26" s="512" t="s">
        <v>752</v>
      </c>
      <c r="K26" s="512" t="s">
        <v>752</v>
      </c>
      <c r="L26" s="512" t="s">
        <v>752</v>
      </c>
      <c r="M26" s="512" t="s">
        <v>752</v>
      </c>
      <c r="N26" s="512" t="s">
        <v>752</v>
      </c>
      <c r="O26" s="512" t="s">
        <v>752</v>
      </c>
      <c r="P26" s="512" t="s">
        <v>752</v>
      </c>
      <c r="Q26" s="512" t="s">
        <v>752</v>
      </c>
      <c r="R26" s="512" t="s">
        <v>752</v>
      </c>
      <c r="S26" s="512" t="s">
        <v>752</v>
      </c>
      <c r="T26" s="512" t="s">
        <v>752</v>
      </c>
      <c r="U26" s="512" t="s">
        <v>752</v>
      </c>
      <c r="V26" s="512"/>
    </row>
    <row r="27" spans="1:22" ht="14">
      <c r="A27" s="820" t="s">
        <v>754</v>
      </c>
      <c r="B27" s="820" t="s">
        <v>755</v>
      </c>
      <c r="C27" s="518" t="s">
        <v>778</v>
      </c>
      <c r="D27" s="517" t="s">
        <v>559</v>
      </c>
      <c r="E27" s="512" t="s">
        <v>752</v>
      </c>
      <c r="F27" s="512" t="s">
        <v>752</v>
      </c>
      <c r="G27" s="512" t="s">
        <v>752</v>
      </c>
      <c r="H27" s="512" t="s">
        <v>752</v>
      </c>
      <c r="I27" s="512" t="s">
        <v>752</v>
      </c>
      <c r="J27" s="512" t="s">
        <v>752</v>
      </c>
      <c r="K27" s="512" t="s">
        <v>752</v>
      </c>
      <c r="L27" s="512" t="s">
        <v>752</v>
      </c>
      <c r="M27" s="512" t="s">
        <v>752</v>
      </c>
      <c r="N27" s="512" t="s">
        <v>752</v>
      </c>
      <c r="O27" s="512" t="s">
        <v>752</v>
      </c>
      <c r="P27" s="512" t="s">
        <v>752</v>
      </c>
      <c r="Q27" s="512">
        <v>14055.28</v>
      </c>
      <c r="R27" s="512" t="s">
        <v>752</v>
      </c>
      <c r="S27" s="512" t="s">
        <v>752</v>
      </c>
      <c r="T27" s="512" t="s">
        <v>752</v>
      </c>
      <c r="U27" s="512" t="s">
        <v>752</v>
      </c>
      <c r="V27" s="512"/>
    </row>
    <row r="28" spans="1:22" ht="14">
      <c r="A28" s="820" t="s">
        <v>754</v>
      </c>
      <c r="B28" s="820" t="s">
        <v>755</v>
      </c>
      <c r="C28" s="518" t="s">
        <v>779</v>
      </c>
      <c r="D28" s="517" t="s">
        <v>559</v>
      </c>
      <c r="E28" s="512">
        <v>20180.14</v>
      </c>
      <c r="F28" s="512">
        <v>20372.39</v>
      </c>
      <c r="G28" s="512">
        <v>22445.1</v>
      </c>
      <c r="H28" s="512">
        <v>21809.54</v>
      </c>
      <c r="I28" s="512">
        <v>20727.09</v>
      </c>
      <c r="J28" s="512" t="s">
        <v>752</v>
      </c>
      <c r="K28" s="512">
        <v>20329.53</v>
      </c>
      <c r="L28" s="512" t="s">
        <v>752</v>
      </c>
      <c r="M28" s="512" t="s">
        <v>752</v>
      </c>
      <c r="N28" s="512" t="s">
        <v>752</v>
      </c>
      <c r="O28" s="512" t="s">
        <v>752</v>
      </c>
      <c r="P28" s="512" t="s">
        <v>752</v>
      </c>
      <c r="Q28" s="512" t="s">
        <v>752</v>
      </c>
      <c r="R28" s="512" t="s">
        <v>752</v>
      </c>
      <c r="S28" s="512" t="s">
        <v>752</v>
      </c>
      <c r="T28" s="512" t="s">
        <v>752</v>
      </c>
      <c r="U28" s="512" t="s">
        <v>752</v>
      </c>
      <c r="V28" s="512"/>
    </row>
    <row r="29" spans="1:22" ht="14">
      <c r="A29" s="820" t="s">
        <v>754</v>
      </c>
      <c r="B29" s="820" t="s">
        <v>755</v>
      </c>
      <c r="C29" s="518" t="s">
        <v>780</v>
      </c>
      <c r="D29" s="517" t="s">
        <v>559</v>
      </c>
      <c r="E29" s="512">
        <v>17119.93</v>
      </c>
      <c r="F29" s="512">
        <v>16255.45</v>
      </c>
      <c r="G29" s="512">
        <v>17493.46</v>
      </c>
      <c r="H29" s="512">
        <v>17296.47</v>
      </c>
      <c r="I29" s="512">
        <v>18841.509999999998</v>
      </c>
      <c r="J29" s="512">
        <v>18312.84</v>
      </c>
      <c r="K29" s="512">
        <v>17877.48</v>
      </c>
      <c r="L29" s="512" t="s">
        <v>752</v>
      </c>
      <c r="M29" s="512" t="s">
        <v>752</v>
      </c>
      <c r="N29" s="512">
        <v>14199.62</v>
      </c>
      <c r="O29" s="512">
        <v>12373.21</v>
      </c>
      <c r="P29" s="512">
        <v>12007.28</v>
      </c>
      <c r="Q29" s="512">
        <v>13024.74</v>
      </c>
      <c r="R29" s="512">
        <v>12182.38</v>
      </c>
      <c r="S29" s="512" t="s">
        <v>752</v>
      </c>
      <c r="T29" s="512" t="s">
        <v>752</v>
      </c>
      <c r="U29" s="512" t="s">
        <v>752</v>
      </c>
      <c r="V29" s="512"/>
    </row>
    <row r="30" spans="1:22" ht="14">
      <c r="A30" s="820" t="s">
        <v>754</v>
      </c>
      <c r="B30" s="820" t="s">
        <v>755</v>
      </c>
      <c r="C30" s="518" t="s">
        <v>781</v>
      </c>
      <c r="D30" s="517" t="s">
        <v>559</v>
      </c>
      <c r="E30" s="512">
        <v>18887.84</v>
      </c>
      <c r="F30" s="512">
        <v>18424.02</v>
      </c>
      <c r="G30" s="512">
        <v>18769.59</v>
      </c>
      <c r="H30" s="512">
        <v>19009.3</v>
      </c>
      <c r="I30" s="512">
        <v>19798.080000000002</v>
      </c>
      <c r="J30" s="512">
        <v>18889.13</v>
      </c>
      <c r="K30" s="512">
        <v>18488.86</v>
      </c>
      <c r="L30" s="512" t="s">
        <v>752</v>
      </c>
      <c r="M30" s="512" t="s">
        <v>752</v>
      </c>
      <c r="N30" s="512">
        <v>17703.45</v>
      </c>
      <c r="O30" s="512">
        <v>15649.03</v>
      </c>
      <c r="P30" s="512">
        <v>16029.47</v>
      </c>
      <c r="Q30" s="512">
        <v>15701.03</v>
      </c>
      <c r="R30" s="512" t="s">
        <v>752</v>
      </c>
      <c r="S30" s="512">
        <v>15552.97</v>
      </c>
      <c r="T30" s="512">
        <v>15106.43</v>
      </c>
      <c r="U30" s="512" t="s">
        <v>752</v>
      </c>
      <c r="V30" s="512"/>
    </row>
    <row r="31" spans="1:22" ht="14">
      <c r="A31" s="820" t="s">
        <v>754</v>
      </c>
      <c r="B31" s="820" t="s">
        <v>755</v>
      </c>
      <c r="C31" s="518" t="s">
        <v>782</v>
      </c>
      <c r="D31" s="517" t="s">
        <v>559</v>
      </c>
      <c r="E31" s="512" t="s">
        <v>752</v>
      </c>
      <c r="F31" s="512" t="s">
        <v>752</v>
      </c>
      <c r="G31" s="512">
        <v>18379.490000000002</v>
      </c>
      <c r="H31" s="512">
        <v>18786.669999999998</v>
      </c>
      <c r="I31" s="512" t="s">
        <v>752</v>
      </c>
      <c r="J31" s="512" t="s">
        <v>752</v>
      </c>
      <c r="K31" s="512" t="s">
        <v>752</v>
      </c>
      <c r="L31" s="512" t="s">
        <v>752</v>
      </c>
      <c r="M31" s="512" t="s">
        <v>752</v>
      </c>
      <c r="N31" s="512" t="s">
        <v>752</v>
      </c>
      <c r="O31" s="512" t="s">
        <v>752</v>
      </c>
      <c r="P31" s="512" t="s">
        <v>752</v>
      </c>
      <c r="Q31" s="512" t="s">
        <v>752</v>
      </c>
      <c r="R31" s="512" t="s">
        <v>752</v>
      </c>
      <c r="S31" s="512">
        <v>15625.88</v>
      </c>
      <c r="T31" s="512" t="s">
        <v>752</v>
      </c>
      <c r="U31" s="512" t="s">
        <v>752</v>
      </c>
      <c r="V31" s="512"/>
    </row>
    <row r="32" spans="1:22" ht="14">
      <c r="A32" s="820" t="s">
        <v>754</v>
      </c>
      <c r="B32" s="820" t="s">
        <v>755</v>
      </c>
      <c r="C32" s="518" t="s">
        <v>783</v>
      </c>
      <c r="D32" s="517" t="s">
        <v>559</v>
      </c>
      <c r="E32" s="512" t="s">
        <v>752</v>
      </c>
      <c r="F32" s="512" t="s">
        <v>752</v>
      </c>
      <c r="G32" s="512" t="s">
        <v>752</v>
      </c>
      <c r="H32" s="512" t="s">
        <v>752</v>
      </c>
      <c r="I32" s="512" t="s">
        <v>752</v>
      </c>
      <c r="J32" s="512" t="s">
        <v>752</v>
      </c>
      <c r="K32" s="512" t="s">
        <v>752</v>
      </c>
      <c r="L32" s="512" t="s">
        <v>752</v>
      </c>
      <c r="M32" s="512" t="s">
        <v>752</v>
      </c>
      <c r="N32" s="512" t="s">
        <v>752</v>
      </c>
      <c r="O32" s="512" t="s">
        <v>752</v>
      </c>
      <c r="P32" s="512" t="s">
        <v>752</v>
      </c>
      <c r="Q32" s="512" t="s">
        <v>752</v>
      </c>
      <c r="R32" s="512" t="s">
        <v>752</v>
      </c>
      <c r="S32" s="512">
        <v>14683.6</v>
      </c>
      <c r="T32" s="512" t="s">
        <v>752</v>
      </c>
      <c r="U32" s="512" t="s">
        <v>752</v>
      </c>
      <c r="V32" s="512"/>
    </row>
    <row r="33" spans="1:22" ht="14">
      <c r="A33" s="820" t="s">
        <v>754</v>
      </c>
      <c r="B33" s="820" t="s">
        <v>755</v>
      </c>
      <c r="C33" s="518" t="s">
        <v>784</v>
      </c>
      <c r="D33" s="517" t="s">
        <v>559</v>
      </c>
      <c r="E33" s="512" t="s">
        <v>752</v>
      </c>
      <c r="F33" s="512" t="s">
        <v>752</v>
      </c>
      <c r="G33" s="512" t="s">
        <v>752</v>
      </c>
      <c r="H33" s="512" t="s">
        <v>752</v>
      </c>
      <c r="I33" s="512" t="s">
        <v>752</v>
      </c>
      <c r="J33" s="512" t="s">
        <v>752</v>
      </c>
      <c r="K33" s="512" t="s">
        <v>752</v>
      </c>
      <c r="L33" s="512" t="s">
        <v>752</v>
      </c>
      <c r="M33" s="512" t="s">
        <v>752</v>
      </c>
      <c r="N33" s="512" t="s">
        <v>752</v>
      </c>
      <c r="O33" s="512" t="s">
        <v>752</v>
      </c>
      <c r="P33" s="512" t="s">
        <v>752</v>
      </c>
      <c r="Q33" s="512" t="s">
        <v>752</v>
      </c>
      <c r="R33" s="512" t="s">
        <v>752</v>
      </c>
      <c r="S33" s="512">
        <v>8669.15</v>
      </c>
      <c r="T33" s="512" t="s">
        <v>752</v>
      </c>
      <c r="U33" s="512" t="s">
        <v>752</v>
      </c>
      <c r="V33" s="512"/>
    </row>
    <row r="35" spans="1:22">
      <c r="B35" s="514" t="s">
        <v>785</v>
      </c>
      <c r="C35" s="515" t="s">
        <v>786</v>
      </c>
    </row>
  </sheetData>
  <mergeCells count="7">
    <mergeCell ref="A5:A33"/>
    <mergeCell ref="B5:B33"/>
    <mergeCell ref="A1:V1"/>
    <mergeCell ref="W1:Z1"/>
    <mergeCell ref="A3:D4"/>
    <mergeCell ref="E3:P3"/>
    <mergeCell ref="Q3:U3"/>
  </mergeCells>
  <hyperlinks>
    <hyperlink ref="C35" r:id="rId1" xr:uid="{5ECFAE3F-E3DE-E04F-947D-42C5259D1BC7}"/>
    <hyperlink ref="Z3" r:id="rId2" xr:uid="{EF75DD95-63FB-7048-A0BC-D2D3508291D6}"/>
    <hyperlink ref="Z4" r:id="rId3" xr:uid="{82C5D610-06D4-1C49-A8A5-FA40602D6490}"/>
  </hyperlinks>
  <pageMargins left="0.75" right="0.75" top="1" bottom="1" header="0.5" footer="0.5"/>
  <pageSetup paperSize="9" scale="42" orientation="landscape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7E192-6BC4-4E11-B775-A85041ECD711}">
  <dimension ref="A1:X69"/>
  <sheetViews>
    <sheetView topLeftCell="A4" zoomScale="120" zoomScaleNormal="120" workbookViewId="0">
      <selection activeCell="T31" sqref="T31"/>
    </sheetView>
  </sheetViews>
  <sheetFormatPr baseColWidth="10" defaultColWidth="9.1640625" defaultRowHeight="13"/>
  <cols>
    <col min="1" max="1" width="5.5" style="154" customWidth="1"/>
    <col min="2" max="2" width="23.5" style="154" bestFit="1" customWidth="1"/>
    <col min="3" max="3" width="18" style="154" bestFit="1" customWidth="1"/>
    <col min="4" max="4" width="40.6640625" style="154" bestFit="1" customWidth="1"/>
    <col min="5" max="7" width="5.6640625" style="154" customWidth="1"/>
    <col min="8" max="8" width="12.1640625" style="154" customWidth="1"/>
    <col min="9" max="9" width="7.33203125" style="154" customWidth="1"/>
    <col min="10" max="10" width="13.1640625" style="154" bestFit="1" customWidth="1"/>
    <col min="11" max="11" width="7.6640625" style="154" customWidth="1"/>
    <col min="12" max="13" width="10.6640625" style="154" customWidth="1"/>
    <col min="14" max="14" width="9.1640625" style="154"/>
    <col min="15" max="15" width="6" style="154" bestFit="1" customWidth="1"/>
    <col min="16" max="16" width="9.1640625" style="154"/>
    <col min="17" max="17" width="33.33203125" style="154" customWidth="1"/>
    <col min="18" max="18" width="6.5" style="154" customWidth="1"/>
    <col min="19" max="19" width="5.83203125" style="154" bestFit="1" customWidth="1"/>
    <col min="20" max="20" width="30.5" style="154" customWidth="1"/>
    <col min="21" max="21" width="14.1640625" style="154" customWidth="1"/>
    <col min="22" max="22" width="10.1640625" style="154" bestFit="1" customWidth="1"/>
    <col min="23" max="23" width="18.5" style="154" customWidth="1"/>
    <col min="24" max="24" width="23.1640625" style="154" customWidth="1"/>
    <col min="25" max="16384" width="9.1640625" style="154"/>
  </cols>
  <sheetData>
    <row r="1" spans="1:22" ht="31" customHeight="1" thickBot="1">
      <c r="A1" s="824" t="s">
        <v>684</v>
      </c>
      <c r="B1" s="824"/>
      <c r="C1" s="824"/>
      <c r="D1" s="824"/>
      <c r="E1" s="824"/>
      <c r="F1" s="824"/>
      <c r="G1" s="824"/>
      <c r="H1" s="824"/>
      <c r="I1" s="824"/>
      <c r="J1" s="824"/>
      <c r="K1" s="824"/>
      <c r="L1" s="438" t="s">
        <v>147</v>
      </c>
      <c r="M1" s="439">
        <v>12</v>
      </c>
      <c r="O1" s="828" t="s">
        <v>232</v>
      </c>
      <c r="P1" s="828"/>
      <c r="Q1" s="828"/>
      <c r="S1" s="828" t="s">
        <v>233</v>
      </c>
      <c r="T1" s="828"/>
      <c r="U1" s="828"/>
    </row>
    <row r="2" spans="1:22" s="155" customFormat="1" ht="28">
      <c r="A2" s="829" t="s">
        <v>18</v>
      </c>
      <c r="B2" s="831" t="s">
        <v>234</v>
      </c>
      <c r="C2" s="831" t="s">
        <v>235</v>
      </c>
      <c r="D2" s="831" t="s">
        <v>64</v>
      </c>
      <c r="E2" s="831" t="s">
        <v>236</v>
      </c>
      <c r="F2" s="831"/>
      <c r="G2" s="831"/>
      <c r="H2" s="831" t="s">
        <v>237</v>
      </c>
      <c r="I2" s="831" t="s">
        <v>238</v>
      </c>
      <c r="J2" s="831" t="s">
        <v>239</v>
      </c>
      <c r="K2" s="831" t="s">
        <v>240</v>
      </c>
      <c r="L2" s="831" t="s">
        <v>241</v>
      </c>
      <c r="M2" s="833" t="s">
        <v>6</v>
      </c>
      <c r="O2" s="156" t="s">
        <v>242</v>
      </c>
      <c r="P2" s="157" t="s">
        <v>32</v>
      </c>
      <c r="Q2" s="158" t="s">
        <v>42</v>
      </c>
      <c r="S2" s="156" t="s">
        <v>240</v>
      </c>
      <c r="T2" s="157" t="s">
        <v>64</v>
      </c>
      <c r="U2" s="158" t="s">
        <v>243</v>
      </c>
    </row>
    <row r="3" spans="1:22" s="155" customFormat="1" ht="16">
      <c r="A3" s="830"/>
      <c r="B3" s="832"/>
      <c r="C3" s="832"/>
      <c r="D3" s="832"/>
      <c r="E3" s="159">
        <v>1</v>
      </c>
      <c r="F3" s="159">
        <v>2</v>
      </c>
      <c r="G3" s="159">
        <v>3</v>
      </c>
      <c r="H3" s="832"/>
      <c r="I3" s="832"/>
      <c r="J3" s="832"/>
      <c r="K3" s="832"/>
      <c r="L3" s="832"/>
      <c r="M3" s="834"/>
      <c r="O3" s="160" t="s">
        <v>244</v>
      </c>
      <c r="P3" s="161">
        <v>1</v>
      </c>
      <c r="Q3" s="162" t="s">
        <v>245</v>
      </c>
      <c r="S3" s="160">
        <v>9</v>
      </c>
      <c r="T3" s="163" t="s">
        <v>246</v>
      </c>
      <c r="U3" s="164">
        <v>300000</v>
      </c>
    </row>
    <row r="4" spans="1:22" ht="43" thickBot="1">
      <c r="A4" s="160">
        <v>1</v>
      </c>
      <c r="B4" s="165" t="s">
        <v>247</v>
      </c>
      <c r="C4" s="165" t="s">
        <v>217</v>
      </c>
      <c r="D4" s="433" t="s">
        <v>977</v>
      </c>
      <c r="E4" s="166">
        <v>1</v>
      </c>
      <c r="F4" s="166">
        <v>0</v>
      </c>
      <c r="G4" s="166">
        <v>0</v>
      </c>
      <c r="H4" s="167">
        <f>SUM(E4:G4)</f>
        <v>1</v>
      </c>
      <c r="I4" s="168">
        <f>IF(SUM(F4:G4)=0,'12_ФОТ'!$P$3,'12_ФОТ'!$P$4)</f>
        <v>1</v>
      </c>
      <c r="J4" s="167">
        <f>I4*H4</f>
        <v>1</v>
      </c>
      <c r="K4" s="166">
        <v>9</v>
      </c>
      <c r="L4" s="167">
        <f t="shared" ref="L4:L41" si="0">SUMIF($S$3:$S$12,K4,$U$3:$U$12)</f>
        <v>300000</v>
      </c>
      <c r="M4" s="169">
        <f>L4*J4</f>
        <v>300000</v>
      </c>
      <c r="N4" s="170"/>
      <c r="O4" s="171" t="s">
        <v>248</v>
      </c>
      <c r="P4" s="172">
        <v>1.46</v>
      </c>
      <c r="Q4" s="173" t="s">
        <v>249</v>
      </c>
      <c r="S4" s="160">
        <v>8</v>
      </c>
      <c r="T4" s="163" t="s">
        <v>250</v>
      </c>
      <c r="U4" s="164">
        <v>250000</v>
      </c>
    </row>
    <row r="5" spans="1:22" ht="14">
      <c r="A5" s="160">
        <v>2</v>
      </c>
      <c r="B5" s="165" t="s">
        <v>247</v>
      </c>
      <c r="C5" s="165" t="s">
        <v>217</v>
      </c>
      <c r="D5" s="165" t="s">
        <v>328</v>
      </c>
      <c r="E5" s="166">
        <v>1</v>
      </c>
      <c r="F5" s="166">
        <v>0</v>
      </c>
      <c r="G5" s="166">
        <v>0</v>
      </c>
      <c r="H5" s="167">
        <f t="shared" ref="H5:H66" si="1">SUM(E5:G5)</f>
        <v>1</v>
      </c>
      <c r="I5" s="168">
        <f>IF(SUM(F5:G5)=0,'12_ФОТ'!$P$3,'12_ФОТ'!$P$4)</f>
        <v>1</v>
      </c>
      <c r="J5" s="167">
        <f t="shared" ref="J5:J65" si="2">I5*H5</f>
        <v>1</v>
      </c>
      <c r="K5" s="166">
        <v>8</v>
      </c>
      <c r="L5" s="167">
        <f t="shared" si="0"/>
        <v>250000</v>
      </c>
      <c r="M5" s="169">
        <f t="shared" ref="M5:M65" si="3">L5*J5</f>
        <v>250000</v>
      </c>
      <c r="N5" s="170"/>
      <c r="S5" s="160">
        <v>7</v>
      </c>
      <c r="T5" s="163" t="s">
        <v>251</v>
      </c>
      <c r="U5" s="164">
        <v>200000</v>
      </c>
    </row>
    <row r="6" spans="1:22" ht="14">
      <c r="A6" s="160">
        <v>3</v>
      </c>
      <c r="B6" s="204" t="s">
        <v>330</v>
      </c>
      <c r="C6" s="165" t="s">
        <v>217</v>
      </c>
      <c r="D6" s="204" t="s">
        <v>331</v>
      </c>
      <c r="E6" s="205">
        <v>1</v>
      </c>
      <c r="F6" s="166">
        <v>0</v>
      </c>
      <c r="G6" s="166">
        <v>0</v>
      </c>
      <c r="H6" s="167">
        <f>SUM(E6:G6)</f>
        <v>1</v>
      </c>
      <c r="I6" s="168">
        <f>IF(SUM(F6:G6)=0,'12_ФОТ'!$P$3,'12_ФОТ'!$P$4)</f>
        <v>1</v>
      </c>
      <c r="J6" s="167">
        <f>I6*H6</f>
        <v>1</v>
      </c>
      <c r="K6" s="166">
        <v>5</v>
      </c>
      <c r="L6" s="167">
        <f t="shared" si="0"/>
        <v>70000</v>
      </c>
      <c r="M6" s="169">
        <f>L6*J6</f>
        <v>70000</v>
      </c>
      <c r="N6" s="170"/>
      <c r="S6" s="160">
        <v>6</v>
      </c>
      <c r="T6" s="163" t="s">
        <v>253</v>
      </c>
      <c r="U6" s="164">
        <v>100000</v>
      </c>
    </row>
    <row r="7" spans="1:22" ht="14">
      <c r="A7" s="160">
        <v>4</v>
      </c>
      <c r="B7" s="165" t="s">
        <v>252</v>
      </c>
      <c r="C7" s="165" t="s">
        <v>217</v>
      </c>
      <c r="D7" s="165" t="s">
        <v>65</v>
      </c>
      <c r="E7" s="166">
        <v>1</v>
      </c>
      <c r="F7" s="166">
        <v>0</v>
      </c>
      <c r="G7" s="166">
        <v>0</v>
      </c>
      <c r="H7" s="167">
        <f t="shared" si="1"/>
        <v>1</v>
      </c>
      <c r="I7" s="168">
        <f>IF(SUM(F7:G7)=0,'12_ФОТ'!$P$3,'12_ФОТ'!$P$4)</f>
        <v>1</v>
      </c>
      <c r="J7" s="167">
        <f t="shared" si="2"/>
        <v>1</v>
      </c>
      <c r="K7" s="166">
        <v>7</v>
      </c>
      <c r="L7" s="167">
        <f t="shared" si="0"/>
        <v>200000</v>
      </c>
      <c r="M7" s="169">
        <f t="shared" si="3"/>
        <v>200000</v>
      </c>
      <c r="N7" s="170"/>
      <c r="S7" s="160">
        <v>5</v>
      </c>
      <c r="T7" s="163" t="s">
        <v>255</v>
      </c>
      <c r="U7" s="164">
        <v>70000</v>
      </c>
    </row>
    <row r="8" spans="1:22" ht="14">
      <c r="A8" s="160">
        <v>5</v>
      </c>
      <c r="B8" s="165" t="s">
        <v>252</v>
      </c>
      <c r="C8" s="165" t="s">
        <v>217</v>
      </c>
      <c r="D8" s="165" t="s">
        <v>254</v>
      </c>
      <c r="E8" s="166">
        <v>3</v>
      </c>
      <c r="F8" s="166">
        <v>0</v>
      </c>
      <c r="G8" s="166">
        <v>0</v>
      </c>
      <c r="H8" s="167">
        <f t="shared" si="1"/>
        <v>3</v>
      </c>
      <c r="I8" s="168">
        <f>IF(SUM(F8:G8)=0,'12_ФОТ'!$P$3,'12_ФОТ'!$P$4)</f>
        <v>1</v>
      </c>
      <c r="J8" s="167">
        <f t="shared" si="2"/>
        <v>3</v>
      </c>
      <c r="K8" s="166">
        <v>2</v>
      </c>
      <c r="L8" s="167">
        <f t="shared" si="0"/>
        <v>45000</v>
      </c>
      <c r="M8" s="169">
        <f t="shared" si="3"/>
        <v>135000</v>
      </c>
      <c r="N8" s="170"/>
      <c r="S8" s="160">
        <v>4</v>
      </c>
      <c r="T8" s="163" t="s">
        <v>258</v>
      </c>
      <c r="U8" s="164">
        <v>60000</v>
      </c>
    </row>
    <row r="9" spans="1:22" ht="14">
      <c r="A9" s="160">
        <v>6</v>
      </c>
      <c r="B9" s="165" t="s">
        <v>256</v>
      </c>
      <c r="C9" s="165" t="s">
        <v>217</v>
      </c>
      <c r="D9" s="165" t="s">
        <v>257</v>
      </c>
      <c r="E9" s="166">
        <v>1</v>
      </c>
      <c r="F9" s="166">
        <v>0</v>
      </c>
      <c r="G9" s="166">
        <v>0</v>
      </c>
      <c r="H9" s="167">
        <f t="shared" si="1"/>
        <v>1</v>
      </c>
      <c r="I9" s="168">
        <f>IF(SUM(F9:G9)=0,'12_ФОТ'!$P$3,'12_ФОТ'!$P$4)</f>
        <v>1</v>
      </c>
      <c r="J9" s="167">
        <f t="shared" si="2"/>
        <v>1</v>
      </c>
      <c r="K9" s="166">
        <v>3</v>
      </c>
      <c r="L9" s="167">
        <f t="shared" si="0"/>
        <v>52000</v>
      </c>
      <c r="M9" s="169">
        <f t="shared" si="3"/>
        <v>52000</v>
      </c>
      <c r="N9" s="170"/>
      <c r="S9" s="160">
        <v>3</v>
      </c>
      <c r="T9" s="163" t="s">
        <v>260</v>
      </c>
      <c r="U9" s="164">
        <v>52000</v>
      </c>
    </row>
    <row r="10" spans="1:22" ht="14">
      <c r="A10" s="160">
        <v>7</v>
      </c>
      <c r="B10" s="165" t="s">
        <v>259</v>
      </c>
      <c r="C10" s="165" t="s">
        <v>217</v>
      </c>
      <c r="D10" s="165" t="s">
        <v>332</v>
      </c>
      <c r="E10" s="166">
        <v>1</v>
      </c>
      <c r="F10" s="166">
        <v>0</v>
      </c>
      <c r="G10" s="166">
        <v>0</v>
      </c>
      <c r="H10" s="167">
        <f t="shared" si="1"/>
        <v>1</v>
      </c>
      <c r="I10" s="168">
        <f>IF(SUM(F10:G10)=0,'12_ФОТ'!$P$3,'12_ФОТ'!$P$4)</f>
        <v>1</v>
      </c>
      <c r="J10" s="167">
        <f t="shared" si="2"/>
        <v>1</v>
      </c>
      <c r="K10" s="166">
        <v>3</v>
      </c>
      <c r="L10" s="167">
        <f t="shared" si="0"/>
        <v>52000</v>
      </c>
      <c r="M10" s="169">
        <f t="shared" si="3"/>
        <v>52000</v>
      </c>
      <c r="N10" s="170"/>
      <c r="S10" s="160">
        <v>2</v>
      </c>
      <c r="T10" s="163" t="s">
        <v>261</v>
      </c>
      <c r="U10" s="164">
        <v>45000</v>
      </c>
    </row>
    <row r="11" spans="1:22" ht="14">
      <c r="A11" s="160">
        <v>8</v>
      </c>
      <c r="B11" s="165" t="s">
        <v>263</v>
      </c>
      <c r="C11" s="165" t="s">
        <v>217</v>
      </c>
      <c r="D11" s="165" t="s">
        <v>264</v>
      </c>
      <c r="E11" s="166">
        <v>1</v>
      </c>
      <c r="F11" s="166">
        <v>0</v>
      </c>
      <c r="G11" s="166">
        <v>0</v>
      </c>
      <c r="H11" s="167">
        <f t="shared" si="1"/>
        <v>1</v>
      </c>
      <c r="I11" s="168">
        <f>IF(SUM(F11:G11)=0,'12_ФОТ'!$P$3,'12_ФОТ'!$P$4)</f>
        <v>1</v>
      </c>
      <c r="J11" s="167">
        <f t="shared" si="2"/>
        <v>1</v>
      </c>
      <c r="K11" s="166">
        <v>5</v>
      </c>
      <c r="L11" s="167">
        <f t="shared" si="0"/>
        <v>70000</v>
      </c>
      <c r="M11" s="169">
        <f t="shared" si="3"/>
        <v>70000</v>
      </c>
      <c r="N11" s="170"/>
      <c r="S11" s="210">
        <v>1</v>
      </c>
      <c r="T11" s="211" t="s">
        <v>262</v>
      </c>
      <c r="U11" s="212">
        <v>40000</v>
      </c>
    </row>
    <row r="12" spans="1:22" ht="15" thickBot="1">
      <c r="A12" s="160">
        <v>9</v>
      </c>
      <c r="B12" s="204" t="s">
        <v>300</v>
      </c>
      <c r="C12" s="165" t="s">
        <v>217</v>
      </c>
      <c r="D12" s="204" t="s">
        <v>329</v>
      </c>
      <c r="E12" s="166">
        <v>1</v>
      </c>
      <c r="F12" s="166">
        <v>0</v>
      </c>
      <c r="G12" s="166">
        <v>0</v>
      </c>
      <c r="H12" s="167">
        <f>SUM(E12:G12)</f>
        <v>1</v>
      </c>
      <c r="I12" s="168">
        <f>IF(SUM(F12:G12)=0,'12_ФОТ'!$P$3,'12_ФОТ'!$P$4)</f>
        <v>1</v>
      </c>
      <c r="J12" s="167">
        <f>I12*H12</f>
        <v>1</v>
      </c>
      <c r="K12" s="166">
        <v>5</v>
      </c>
      <c r="L12" s="167">
        <f t="shared" si="0"/>
        <v>70000</v>
      </c>
      <c r="M12" s="169">
        <f>L12*J12</f>
        <v>70000</v>
      </c>
      <c r="N12" s="170"/>
      <c r="S12" s="171">
        <v>0</v>
      </c>
      <c r="T12" s="174" t="s">
        <v>265</v>
      </c>
      <c r="U12" s="175">
        <v>25000</v>
      </c>
    </row>
    <row r="13" spans="1:22" ht="28">
      <c r="A13" s="160">
        <v>10</v>
      </c>
      <c r="B13" s="165" t="s">
        <v>266</v>
      </c>
      <c r="C13" s="165" t="s">
        <v>217</v>
      </c>
      <c r="D13" s="165" t="s">
        <v>267</v>
      </c>
      <c r="E13" s="166">
        <v>1</v>
      </c>
      <c r="F13" s="166">
        <v>0</v>
      </c>
      <c r="G13" s="166">
        <v>0</v>
      </c>
      <c r="H13" s="167">
        <f t="shared" si="1"/>
        <v>1</v>
      </c>
      <c r="I13" s="168">
        <f>IF(SUM(F13:G13)=0,'12_ФОТ'!$P$3,'12_ФОТ'!$P$4)</f>
        <v>1</v>
      </c>
      <c r="J13" s="167">
        <f t="shared" si="2"/>
        <v>1</v>
      </c>
      <c r="K13" s="166">
        <v>5</v>
      </c>
      <c r="L13" s="167">
        <f t="shared" si="0"/>
        <v>70000</v>
      </c>
      <c r="M13" s="169">
        <f t="shared" si="3"/>
        <v>70000</v>
      </c>
      <c r="N13" s="170"/>
      <c r="S13" s="208"/>
      <c r="T13" s="209"/>
    </row>
    <row r="14" spans="1:22" ht="16" customHeight="1">
      <c r="A14" s="160">
        <v>11</v>
      </c>
      <c r="B14" s="165" t="s">
        <v>318</v>
      </c>
      <c r="C14" s="165" t="s">
        <v>217</v>
      </c>
      <c r="D14" s="165" t="s">
        <v>319</v>
      </c>
      <c r="E14" s="166">
        <v>1</v>
      </c>
      <c r="F14" s="166">
        <v>0</v>
      </c>
      <c r="G14" s="166">
        <v>0</v>
      </c>
      <c r="H14" s="167">
        <f t="shared" si="1"/>
        <v>1</v>
      </c>
      <c r="I14" s="168">
        <f>IF(SUM(F14:G14)=0,'12_ФОТ'!$P$3,'12_ФОТ'!$P$4)</f>
        <v>1</v>
      </c>
      <c r="J14" s="167">
        <f t="shared" si="2"/>
        <v>1</v>
      </c>
      <c r="K14" s="166">
        <v>6</v>
      </c>
      <c r="L14" s="167">
        <f t="shared" si="0"/>
        <v>100000</v>
      </c>
      <c r="M14" s="169">
        <f t="shared" si="3"/>
        <v>100000</v>
      </c>
      <c r="N14" s="170"/>
      <c r="T14" s="440" t="s">
        <v>679</v>
      </c>
      <c r="U14" s="441" t="s">
        <v>289</v>
      </c>
      <c r="V14" s="442" t="s">
        <v>194</v>
      </c>
    </row>
    <row r="15" spans="1:22" ht="16">
      <c r="A15" s="160">
        <v>12</v>
      </c>
      <c r="B15" s="165" t="s">
        <v>318</v>
      </c>
      <c r="C15" s="165" t="s">
        <v>217</v>
      </c>
      <c r="D15" s="165" t="s">
        <v>320</v>
      </c>
      <c r="E15" s="166">
        <v>2</v>
      </c>
      <c r="F15" s="166">
        <v>0</v>
      </c>
      <c r="G15" s="166">
        <v>0</v>
      </c>
      <c r="H15" s="167">
        <f t="shared" si="1"/>
        <v>2</v>
      </c>
      <c r="I15" s="168">
        <f>IF(SUM(F15:G15)=0,'12_ФОТ'!$P$3,'12_ФОТ'!$P$4)</f>
        <v>1</v>
      </c>
      <c r="J15" s="167">
        <f t="shared" si="2"/>
        <v>2</v>
      </c>
      <c r="K15" s="166">
        <v>3</v>
      </c>
      <c r="L15" s="167">
        <f t="shared" si="0"/>
        <v>52000</v>
      </c>
      <c r="M15" s="169">
        <f t="shared" si="3"/>
        <v>104000</v>
      </c>
      <c r="N15" s="170"/>
      <c r="T15" s="48" t="s">
        <v>342</v>
      </c>
      <c r="U15" s="63" t="s">
        <v>57</v>
      </c>
      <c r="V15" s="63" t="s">
        <v>6</v>
      </c>
    </row>
    <row r="16" spans="1:22" ht="16">
      <c r="A16" s="160">
        <v>13</v>
      </c>
      <c r="B16" s="165" t="s">
        <v>270</v>
      </c>
      <c r="C16" s="165" t="s">
        <v>217</v>
      </c>
      <c r="D16" s="204" t="s">
        <v>327</v>
      </c>
      <c r="E16" s="166">
        <v>1</v>
      </c>
      <c r="F16" s="166">
        <v>0</v>
      </c>
      <c r="G16" s="166">
        <v>0</v>
      </c>
      <c r="H16" s="167">
        <f>SUM(E16:G16)</f>
        <v>1</v>
      </c>
      <c r="I16" s="168">
        <f>IF(SUM(F16:G16)=0,'12_ФОТ'!$P$3,'12_ФОТ'!$P$4)</f>
        <v>1</v>
      </c>
      <c r="J16" s="167">
        <f>I16*H16</f>
        <v>1</v>
      </c>
      <c r="K16" s="166">
        <v>1</v>
      </c>
      <c r="L16" s="167">
        <f t="shared" si="0"/>
        <v>40000</v>
      </c>
      <c r="M16" s="169">
        <f>L16*J16</f>
        <v>40000</v>
      </c>
      <c r="N16" s="170"/>
      <c r="T16" s="31" t="s">
        <v>343</v>
      </c>
      <c r="U16" s="64">
        <f>SUM(J4:J19)-J10</f>
        <v>17</v>
      </c>
      <c r="V16" s="32">
        <f>SUM(M4:M19)-M10</f>
        <v>1761000</v>
      </c>
    </row>
    <row r="17" spans="1:24" ht="16">
      <c r="A17" s="160">
        <v>14</v>
      </c>
      <c r="B17" s="165" t="s">
        <v>270</v>
      </c>
      <c r="C17" s="165" t="s">
        <v>217</v>
      </c>
      <c r="D17" s="165" t="s">
        <v>272</v>
      </c>
      <c r="E17" s="166">
        <v>0</v>
      </c>
      <c r="F17" s="166">
        <v>0</v>
      </c>
      <c r="G17" s="166">
        <v>0</v>
      </c>
      <c r="H17" s="167">
        <f>SUM(E17:G17)</f>
        <v>0</v>
      </c>
      <c r="I17" s="168">
        <f>IF(SUM(F17:G17)=0,'12_ФОТ'!$P$3,'12_ФОТ'!$P$4)</f>
        <v>1</v>
      </c>
      <c r="J17" s="167">
        <f>I17*H17</f>
        <v>0</v>
      </c>
      <c r="K17" s="166">
        <v>0</v>
      </c>
      <c r="L17" s="167">
        <f t="shared" si="0"/>
        <v>25000</v>
      </c>
      <c r="M17" s="169">
        <f>L17*J17</f>
        <v>0</v>
      </c>
      <c r="N17" s="170"/>
      <c r="T17" s="31" t="s">
        <v>344</v>
      </c>
      <c r="U17" s="64">
        <f>SUM(J20:J43)+SUM(J55:J67)</f>
        <v>298.7</v>
      </c>
      <c r="V17" s="32">
        <f>SUM(M20:M43)+SUM(M55:M67)</f>
        <v>14339560</v>
      </c>
    </row>
    <row r="18" spans="1:24" ht="16">
      <c r="A18" s="160">
        <v>15</v>
      </c>
      <c r="B18" s="165" t="s">
        <v>300</v>
      </c>
      <c r="C18" s="165" t="s">
        <v>217</v>
      </c>
      <c r="D18" s="165" t="s">
        <v>268</v>
      </c>
      <c r="E18" s="166">
        <v>1</v>
      </c>
      <c r="F18" s="166">
        <v>0</v>
      </c>
      <c r="G18" s="166">
        <v>0</v>
      </c>
      <c r="H18" s="167">
        <f t="shared" si="1"/>
        <v>1</v>
      </c>
      <c r="I18" s="168">
        <f>IF(SUM(F18:G18)=0,'12_ФОТ'!$P$3,'12_ФОТ'!$P$4)</f>
        <v>1</v>
      </c>
      <c r="J18" s="167">
        <f t="shared" si="2"/>
        <v>1</v>
      </c>
      <c r="K18" s="166">
        <v>7</v>
      </c>
      <c r="L18" s="167">
        <f t="shared" si="0"/>
        <v>200000</v>
      </c>
      <c r="M18" s="169">
        <f t="shared" si="3"/>
        <v>200000</v>
      </c>
      <c r="N18" s="170"/>
      <c r="T18" s="31" t="s">
        <v>345</v>
      </c>
      <c r="U18" s="64">
        <f>SUM(J44:J54)</f>
        <v>34.980000000000004</v>
      </c>
      <c r="V18" s="32">
        <f>SUM(M44:M54)</f>
        <v>1358100</v>
      </c>
    </row>
    <row r="19" spans="1:24" ht="16">
      <c r="A19" s="160">
        <v>16</v>
      </c>
      <c r="B19" s="165" t="s">
        <v>300</v>
      </c>
      <c r="C19" s="165" t="s">
        <v>217</v>
      </c>
      <c r="D19" s="165" t="s">
        <v>269</v>
      </c>
      <c r="E19" s="166">
        <v>1</v>
      </c>
      <c r="F19" s="166">
        <v>0</v>
      </c>
      <c r="G19" s="166">
        <v>0</v>
      </c>
      <c r="H19" s="167">
        <f t="shared" si="1"/>
        <v>1</v>
      </c>
      <c r="I19" s="168">
        <f>IF(SUM(F19:G19)=0,'12_ФОТ'!$P$3,'12_ФОТ'!$P$4)</f>
        <v>1</v>
      </c>
      <c r="J19" s="167">
        <f t="shared" si="2"/>
        <v>1</v>
      </c>
      <c r="K19" s="166">
        <v>6</v>
      </c>
      <c r="L19" s="167">
        <f t="shared" si="0"/>
        <v>100000</v>
      </c>
      <c r="M19" s="169">
        <f t="shared" si="3"/>
        <v>100000</v>
      </c>
      <c r="N19" s="170"/>
      <c r="T19" s="31" t="s">
        <v>346</v>
      </c>
      <c r="U19" s="64">
        <f>J10</f>
        <v>1</v>
      </c>
      <c r="V19" s="32">
        <f>M10</f>
        <v>52000</v>
      </c>
    </row>
    <row r="20" spans="1:24" ht="16">
      <c r="A20" s="160">
        <v>17</v>
      </c>
      <c r="B20" s="165" t="s">
        <v>300</v>
      </c>
      <c r="C20" s="165" t="s">
        <v>217</v>
      </c>
      <c r="D20" s="165" t="s">
        <v>66</v>
      </c>
      <c r="E20" s="166">
        <v>1</v>
      </c>
      <c r="F20" s="166">
        <v>0</v>
      </c>
      <c r="G20" s="166">
        <v>0</v>
      </c>
      <c r="H20" s="167">
        <f t="shared" si="1"/>
        <v>1</v>
      </c>
      <c r="I20" s="168">
        <f>IF(SUM(F20:G20)=0,'12_ФОТ'!$P$3,'12_ФОТ'!$P$4)</f>
        <v>1</v>
      </c>
      <c r="J20" s="167">
        <f t="shared" si="2"/>
        <v>1</v>
      </c>
      <c r="K20" s="166">
        <v>7</v>
      </c>
      <c r="L20" s="167">
        <f t="shared" si="0"/>
        <v>200000</v>
      </c>
      <c r="M20" s="169">
        <f t="shared" si="3"/>
        <v>200000</v>
      </c>
      <c r="N20" s="170"/>
      <c r="T20" s="216" t="s">
        <v>3</v>
      </c>
      <c r="U20" s="217">
        <f>SUM(U16:U19)</f>
        <v>351.68</v>
      </c>
      <c r="V20" s="102">
        <f>SUM(V16:V19)</f>
        <v>17510660</v>
      </c>
    </row>
    <row r="21" spans="1:24" ht="14">
      <c r="A21" s="160">
        <v>18</v>
      </c>
      <c r="B21" s="165" t="s">
        <v>300</v>
      </c>
      <c r="C21" s="165" t="s">
        <v>217</v>
      </c>
      <c r="D21" s="165" t="s">
        <v>961</v>
      </c>
      <c r="E21" s="166">
        <v>1</v>
      </c>
      <c r="F21" s="166">
        <v>0</v>
      </c>
      <c r="G21" s="166">
        <v>0</v>
      </c>
      <c r="H21" s="167">
        <f t="shared" si="1"/>
        <v>1</v>
      </c>
      <c r="I21" s="168">
        <f>IF(SUM(F21:G21)=0,'12_ФОТ'!$P$3,'12_ФОТ'!$P$4)</f>
        <v>1</v>
      </c>
      <c r="J21" s="167">
        <f t="shared" si="2"/>
        <v>1</v>
      </c>
      <c r="K21" s="166">
        <v>6</v>
      </c>
      <c r="L21" s="167">
        <f t="shared" si="0"/>
        <v>100000</v>
      </c>
      <c r="M21" s="169">
        <f t="shared" si="3"/>
        <v>100000</v>
      </c>
      <c r="N21" s="170"/>
      <c r="T21" s="712" t="s">
        <v>562</v>
      </c>
      <c r="V21" s="170">
        <f>V20*'20_Tax'!C5</f>
        <v>5375772.6200000001</v>
      </c>
    </row>
    <row r="22" spans="1:24" ht="14">
      <c r="A22" s="160">
        <v>19</v>
      </c>
      <c r="B22" s="165" t="s">
        <v>300</v>
      </c>
      <c r="C22" s="165" t="s">
        <v>217</v>
      </c>
      <c r="D22" s="165" t="s">
        <v>301</v>
      </c>
      <c r="E22" s="166">
        <v>1</v>
      </c>
      <c r="F22" s="166">
        <v>1</v>
      </c>
      <c r="G22" s="166">
        <v>1</v>
      </c>
      <c r="H22" s="167">
        <f t="shared" si="1"/>
        <v>3</v>
      </c>
      <c r="I22" s="168">
        <f>IF(SUM(F22:G22)=0,'12_ФОТ'!$P$3,'12_ФОТ'!$P$4)</f>
        <v>1.46</v>
      </c>
      <c r="J22" s="167">
        <f t="shared" si="2"/>
        <v>4.38</v>
      </c>
      <c r="K22" s="166">
        <v>3</v>
      </c>
      <c r="L22" s="167">
        <f t="shared" si="0"/>
        <v>52000</v>
      </c>
      <c r="M22" s="169">
        <f t="shared" si="3"/>
        <v>227760</v>
      </c>
      <c r="N22" s="170"/>
      <c r="T22" s="712" t="s">
        <v>122</v>
      </c>
      <c r="V22" s="713">
        <f>V20+V21</f>
        <v>22886432.620000001</v>
      </c>
    </row>
    <row r="23" spans="1:24" ht="16" customHeight="1">
      <c r="A23" s="160">
        <v>20</v>
      </c>
      <c r="B23" s="165" t="s">
        <v>300</v>
      </c>
      <c r="C23" s="165" t="s">
        <v>217</v>
      </c>
      <c r="D23" s="165" t="s">
        <v>303</v>
      </c>
      <c r="E23" s="166">
        <v>1</v>
      </c>
      <c r="F23" s="166">
        <v>0</v>
      </c>
      <c r="G23" s="166">
        <v>0</v>
      </c>
      <c r="H23" s="167">
        <f t="shared" si="1"/>
        <v>1</v>
      </c>
      <c r="I23" s="168">
        <f>IF(SUM(F23:G23)=0,'12_ФОТ'!$P$3,'12_ФОТ'!$P$4)</f>
        <v>1</v>
      </c>
      <c r="J23" s="167">
        <f t="shared" si="2"/>
        <v>1</v>
      </c>
      <c r="K23" s="166">
        <v>3</v>
      </c>
      <c r="L23" s="167">
        <f t="shared" si="0"/>
        <v>52000</v>
      </c>
      <c r="M23" s="169">
        <f t="shared" si="3"/>
        <v>52000</v>
      </c>
      <c r="N23" s="170"/>
      <c r="T23" s="825" t="s">
        <v>563</v>
      </c>
      <c r="U23" s="825"/>
      <c r="V23" s="367">
        <f>V20/U20</f>
        <v>49791.458143767057</v>
      </c>
    </row>
    <row r="24" spans="1:24" ht="15" customHeight="1">
      <c r="A24" s="160">
        <v>21</v>
      </c>
      <c r="B24" s="165" t="s">
        <v>300</v>
      </c>
      <c r="C24" s="165" t="s">
        <v>217</v>
      </c>
      <c r="D24" s="203" t="s">
        <v>304</v>
      </c>
      <c r="E24" s="166">
        <v>1</v>
      </c>
      <c r="F24" s="166">
        <v>1</v>
      </c>
      <c r="G24" s="166">
        <v>1</v>
      </c>
      <c r="H24" s="167">
        <f t="shared" si="1"/>
        <v>3</v>
      </c>
      <c r="I24" s="168">
        <f>IF(SUM(F24:G24)=0,'12_ФОТ'!$P$3,'12_ФОТ'!$P$4)</f>
        <v>1.46</v>
      </c>
      <c r="J24" s="167">
        <f t="shared" si="2"/>
        <v>4.38</v>
      </c>
      <c r="K24" s="166">
        <v>4</v>
      </c>
      <c r="L24" s="167">
        <f t="shared" si="0"/>
        <v>60000</v>
      </c>
      <c r="M24" s="169">
        <f t="shared" si="3"/>
        <v>262800</v>
      </c>
      <c r="N24" s="170"/>
      <c r="T24" s="823" t="s">
        <v>979</v>
      </c>
      <c r="U24" s="823"/>
      <c r="V24" s="366">
        <v>46804</v>
      </c>
      <c r="W24" s="154" t="s">
        <v>565</v>
      </c>
      <c r="X24" s="637" t="s">
        <v>980</v>
      </c>
    </row>
    <row r="25" spans="1:24" ht="16" customHeight="1">
      <c r="A25" s="160">
        <v>22</v>
      </c>
      <c r="B25" s="165" t="s">
        <v>300</v>
      </c>
      <c r="C25" s="165" t="s">
        <v>217</v>
      </c>
      <c r="D25" s="203" t="s">
        <v>305</v>
      </c>
      <c r="E25" s="166">
        <v>1</v>
      </c>
      <c r="F25" s="166">
        <v>0</v>
      </c>
      <c r="G25" s="166">
        <v>0</v>
      </c>
      <c r="H25" s="167">
        <f t="shared" si="1"/>
        <v>1</v>
      </c>
      <c r="I25" s="168">
        <f>IF(SUM(F25:G25)=0,'12_ФОТ'!$P$3,'12_ФОТ'!$P$4)</f>
        <v>1</v>
      </c>
      <c r="J25" s="167">
        <f t="shared" si="2"/>
        <v>1</v>
      </c>
      <c r="K25" s="166">
        <v>2</v>
      </c>
      <c r="L25" s="167">
        <f t="shared" si="0"/>
        <v>45000</v>
      </c>
      <c r="M25" s="169">
        <f t="shared" si="3"/>
        <v>45000</v>
      </c>
      <c r="N25" s="170"/>
      <c r="T25" s="823" t="s">
        <v>1247</v>
      </c>
      <c r="U25" s="823"/>
      <c r="V25" s="366">
        <v>48500</v>
      </c>
      <c r="W25" s="154" t="s">
        <v>564</v>
      </c>
    </row>
    <row r="26" spans="1:24" ht="14">
      <c r="A26" s="160">
        <v>23</v>
      </c>
      <c r="B26" s="165" t="s">
        <v>300</v>
      </c>
      <c r="C26" s="165" t="s">
        <v>217</v>
      </c>
      <c r="D26" s="203" t="s">
        <v>306</v>
      </c>
      <c r="E26" s="166">
        <v>1</v>
      </c>
      <c r="F26" s="166">
        <v>0</v>
      </c>
      <c r="G26" s="166">
        <v>0</v>
      </c>
      <c r="H26" s="167">
        <f t="shared" si="1"/>
        <v>1</v>
      </c>
      <c r="I26" s="168">
        <f>IF(SUM(F26:G26)=0,'12_ФОТ'!$P$3,'12_ФОТ'!$P$4)</f>
        <v>1</v>
      </c>
      <c r="J26" s="167">
        <f t="shared" si="2"/>
        <v>1</v>
      </c>
      <c r="K26" s="166">
        <v>2</v>
      </c>
      <c r="L26" s="167">
        <f t="shared" si="0"/>
        <v>45000</v>
      </c>
      <c r="M26" s="169">
        <f t="shared" si="3"/>
        <v>45000</v>
      </c>
      <c r="N26" s="170"/>
    </row>
    <row r="27" spans="1:24" ht="14">
      <c r="A27" s="160">
        <v>24</v>
      </c>
      <c r="B27" s="165" t="s">
        <v>282</v>
      </c>
      <c r="C27" s="165" t="s">
        <v>971</v>
      </c>
      <c r="D27" s="203" t="s">
        <v>253</v>
      </c>
      <c r="E27" s="166">
        <v>1</v>
      </c>
      <c r="F27" s="166">
        <v>0</v>
      </c>
      <c r="G27" s="166">
        <v>0</v>
      </c>
      <c r="H27" s="167">
        <f t="shared" si="1"/>
        <v>1</v>
      </c>
      <c r="I27" s="168">
        <f>IF(SUM(F27:G27)=0,'12_ФОТ'!$P$3,'12_ФОТ'!$P$4)</f>
        <v>1</v>
      </c>
      <c r="J27" s="167">
        <f t="shared" si="2"/>
        <v>1</v>
      </c>
      <c r="K27" s="166">
        <v>6</v>
      </c>
      <c r="L27" s="167">
        <f t="shared" si="0"/>
        <v>100000</v>
      </c>
      <c r="M27" s="169">
        <f t="shared" si="3"/>
        <v>100000</v>
      </c>
      <c r="N27" s="170"/>
    </row>
    <row r="28" spans="1:24" ht="14">
      <c r="A28" s="160">
        <v>25</v>
      </c>
      <c r="B28" s="165" t="s">
        <v>282</v>
      </c>
      <c r="C28" s="165" t="s">
        <v>971</v>
      </c>
      <c r="D28" s="203" t="s">
        <v>333</v>
      </c>
      <c r="E28" s="166">
        <v>1</v>
      </c>
      <c r="F28" s="166">
        <v>1</v>
      </c>
      <c r="G28" s="166">
        <v>1</v>
      </c>
      <c r="H28" s="167">
        <f t="shared" si="1"/>
        <v>3</v>
      </c>
      <c r="I28" s="168">
        <f>IF(SUM(F28:G28)=0,'12_ФОТ'!$P$3,'12_ФОТ'!$P$4)</f>
        <v>1.46</v>
      </c>
      <c r="J28" s="167">
        <f t="shared" si="2"/>
        <v>4.38</v>
      </c>
      <c r="K28" s="166">
        <v>4</v>
      </c>
      <c r="L28" s="167">
        <f t="shared" si="0"/>
        <v>60000</v>
      </c>
      <c r="M28" s="169">
        <f t="shared" si="3"/>
        <v>262800</v>
      </c>
      <c r="N28" s="170"/>
    </row>
    <row r="29" spans="1:24" ht="14">
      <c r="A29" s="160">
        <v>26</v>
      </c>
      <c r="B29" s="165" t="s">
        <v>282</v>
      </c>
      <c r="C29" s="165" t="s">
        <v>971</v>
      </c>
      <c r="D29" s="203" t="s">
        <v>972</v>
      </c>
      <c r="E29" s="166">
        <v>10</v>
      </c>
      <c r="F29" s="166">
        <v>10</v>
      </c>
      <c r="G29" s="166">
        <v>10</v>
      </c>
      <c r="H29" s="167">
        <f t="shared" si="1"/>
        <v>30</v>
      </c>
      <c r="I29" s="168">
        <f>IF(SUM(F29:G29)=0,'12_ФОТ'!$P$3,'12_ФОТ'!$P$4)</f>
        <v>1.46</v>
      </c>
      <c r="J29" s="167">
        <f t="shared" si="2"/>
        <v>43.8</v>
      </c>
      <c r="K29" s="166">
        <v>2</v>
      </c>
      <c r="L29" s="167">
        <f t="shared" si="0"/>
        <v>45000</v>
      </c>
      <c r="M29" s="169">
        <f t="shared" si="3"/>
        <v>1970999.9999999998</v>
      </c>
      <c r="N29" s="170"/>
    </row>
    <row r="30" spans="1:24" ht="14">
      <c r="A30" s="160">
        <v>27</v>
      </c>
      <c r="B30" s="165" t="s">
        <v>282</v>
      </c>
      <c r="C30" s="165" t="s">
        <v>973</v>
      </c>
      <c r="D30" s="203" t="s">
        <v>253</v>
      </c>
      <c r="E30" s="166">
        <v>1</v>
      </c>
      <c r="F30" s="166">
        <v>0</v>
      </c>
      <c r="G30" s="166">
        <v>0</v>
      </c>
      <c r="H30" s="167">
        <f t="shared" si="1"/>
        <v>1</v>
      </c>
      <c r="I30" s="168">
        <f>IF(SUM(F30:G30)=0,'12_ФОТ'!$P$3,'12_ФОТ'!$P$4)</f>
        <v>1</v>
      </c>
      <c r="J30" s="167">
        <f t="shared" si="2"/>
        <v>1</v>
      </c>
      <c r="K30" s="166">
        <v>6</v>
      </c>
      <c r="L30" s="167">
        <f t="shared" si="0"/>
        <v>100000</v>
      </c>
      <c r="M30" s="169">
        <f t="shared" si="3"/>
        <v>100000</v>
      </c>
      <c r="N30" s="170"/>
    </row>
    <row r="31" spans="1:24" ht="14">
      <c r="A31" s="160">
        <v>28</v>
      </c>
      <c r="B31" s="165" t="s">
        <v>282</v>
      </c>
      <c r="C31" s="165" t="s">
        <v>973</v>
      </c>
      <c r="D31" s="203" t="s">
        <v>333</v>
      </c>
      <c r="E31" s="166">
        <v>1</v>
      </c>
      <c r="F31" s="166">
        <v>1</v>
      </c>
      <c r="G31" s="166">
        <v>1</v>
      </c>
      <c r="H31" s="167">
        <f t="shared" si="1"/>
        <v>3</v>
      </c>
      <c r="I31" s="168">
        <f>IF(SUM(F31:G31)=0,'12_ФОТ'!$P$3,'12_ФОТ'!$P$4)</f>
        <v>1.46</v>
      </c>
      <c r="J31" s="167">
        <f t="shared" si="2"/>
        <v>4.38</v>
      </c>
      <c r="K31" s="166">
        <v>4</v>
      </c>
      <c r="L31" s="167">
        <f t="shared" si="0"/>
        <v>60000</v>
      </c>
      <c r="M31" s="169">
        <f t="shared" si="3"/>
        <v>262800</v>
      </c>
      <c r="N31" s="170"/>
    </row>
    <row r="32" spans="1:24" ht="14">
      <c r="A32" s="160">
        <v>29</v>
      </c>
      <c r="B32" s="165" t="s">
        <v>282</v>
      </c>
      <c r="C32" s="165" t="s">
        <v>973</v>
      </c>
      <c r="D32" s="203" t="s">
        <v>972</v>
      </c>
      <c r="E32" s="166">
        <v>10</v>
      </c>
      <c r="F32" s="166">
        <v>10</v>
      </c>
      <c r="G32" s="166">
        <v>10</v>
      </c>
      <c r="H32" s="167">
        <f t="shared" si="1"/>
        <v>30</v>
      </c>
      <c r="I32" s="168">
        <f>IF(SUM(F32:G32)=0,'12_ФОТ'!$P$3,'12_ФОТ'!$P$4)</f>
        <v>1.46</v>
      </c>
      <c r="J32" s="167">
        <f t="shared" si="2"/>
        <v>43.8</v>
      </c>
      <c r="K32" s="166">
        <v>2</v>
      </c>
      <c r="L32" s="167">
        <f t="shared" si="0"/>
        <v>45000</v>
      </c>
      <c r="M32" s="169">
        <f t="shared" si="3"/>
        <v>1970999.9999999998</v>
      </c>
      <c r="N32" s="170"/>
    </row>
    <row r="33" spans="1:14" ht="14">
      <c r="A33" s="160">
        <v>30</v>
      </c>
      <c r="B33" s="165" t="s">
        <v>282</v>
      </c>
      <c r="C33" s="165" t="s">
        <v>974</v>
      </c>
      <c r="D33" s="203" t="s">
        <v>253</v>
      </c>
      <c r="E33" s="166">
        <v>1</v>
      </c>
      <c r="F33" s="166">
        <v>0</v>
      </c>
      <c r="G33" s="166">
        <v>0</v>
      </c>
      <c r="H33" s="167">
        <f t="shared" si="1"/>
        <v>1</v>
      </c>
      <c r="I33" s="168">
        <f>IF(SUM(F33:G33)=0,'12_ФОТ'!$P$3,'12_ФОТ'!$P$4)</f>
        <v>1</v>
      </c>
      <c r="J33" s="167">
        <f t="shared" si="2"/>
        <v>1</v>
      </c>
      <c r="K33" s="166">
        <v>6</v>
      </c>
      <c r="L33" s="167">
        <f t="shared" si="0"/>
        <v>100000</v>
      </c>
      <c r="M33" s="169">
        <f t="shared" si="3"/>
        <v>100000</v>
      </c>
      <c r="N33" s="170"/>
    </row>
    <row r="34" spans="1:14" ht="14">
      <c r="A34" s="160">
        <v>31</v>
      </c>
      <c r="B34" s="165" t="s">
        <v>282</v>
      </c>
      <c r="C34" s="165" t="s">
        <v>974</v>
      </c>
      <c r="D34" s="628" t="s">
        <v>333</v>
      </c>
      <c r="E34" s="629">
        <v>1</v>
      </c>
      <c r="F34" s="629">
        <v>1</v>
      </c>
      <c r="G34" s="629">
        <v>1</v>
      </c>
      <c r="H34" s="630">
        <f t="shared" si="1"/>
        <v>3</v>
      </c>
      <c r="I34" s="168">
        <f>IF(SUM(F34:G34)=0,'12_ФОТ'!$P$3,'12_ФОТ'!$P$4)</f>
        <v>1.46</v>
      </c>
      <c r="J34" s="167">
        <f t="shared" si="2"/>
        <v>4.38</v>
      </c>
      <c r="K34" s="629">
        <v>4</v>
      </c>
      <c r="L34" s="630">
        <f t="shared" si="0"/>
        <v>60000</v>
      </c>
      <c r="M34" s="631"/>
      <c r="N34" s="170"/>
    </row>
    <row r="35" spans="1:14" ht="14">
      <c r="A35" s="160">
        <v>32</v>
      </c>
      <c r="B35" s="165" t="s">
        <v>282</v>
      </c>
      <c r="C35" s="165" t="s">
        <v>974</v>
      </c>
      <c r="D35" s="203" t="s">
        <v>975</v>
      </c>
      <c r="E35" s="166">
        <v>13</v>
      </c>
      <c r="F35" s="166">
        <v>13</v>
      </c>
      <c r="G35" s="166">
        <v>13</v>
      </c>
      <c r="H35" s="167">
        <f t="shared" si="1"/>
        <v>39</v>
      </c>
      <c r="I35" s="168">
        <f>IF(SUM(F35:G35)=0,'12_ФОТ'!$P$3,'12_ФОТ'!$P$4)</f>
        <v>1.46</v>
      </c>
      <c r="J35" s="167">
        <f t="shared" si="2"/>
        <v>56.94</v>
      </c>
      <c r="K35" s="166">
        <v>2</v>
      </c>
      <c r="L35" s="167">
        <f t="shared" si="0"/>
        <v>45000</v>
      </c>
      <c r="M35" s="169">
        <f t="shared" si="3"/>
        <v>2562300</v>
      </c>
      <c r="N35" s="170"/>
    </row>
    <row r="36" spans="1:14" ht="14">
      <c r="A36" s="160">
        <v>33</v>
      </c>
      <c r="B36" s="165" t="s">
        <v>282</v>
      </c>
      <c r="C36" s="627" t="s">
        <v>976</v>
      </c>
      <c r="D36" s="628" t="s">
        <v>333</v>
      </c>
      <c r="E36" s="629">
        <v>1</v>
      </c>
      <c r="F36" s="629">
        <v>1</v>
      </c>
      <c r="G36" s="629">
        <v>1</v>
      </c>
      <c r="H36" s="630">
        <f t="shared" si="1"/>
        <v>3</v>
      </c>
      <c r="I36" s="168">
        <f>IF(SUM(F36:G36)=0,'12_ФОТ'!$P$3,'12_ФОТ'!$P$4)</f>
        <v>1.46</v>
      </c>
      <c r="J36" s="167">
        <f t="shared" ref="J36:J37" si="4">I36*H36</f>
        <v>4.38</v>
      </c>
      <c r="K36" s="166">
        <v>4</v>
      </c>
      <c r="L36" s="167">
        <f t="shared" ref="L36:L37" si="5">SUMIF($S$3:$S$12,K36,$U$3:$U$12)</f>
        <v>60000</v>
      </c>
      <c r="M36" s="169">
        <f t="shared" ref="M36:M37" si="6">L36*J36</f>
        <v>262800</v>
      </c>
      <c r="N36" s="170"/>
    </row>
    <row r="37" spans="1:14" ht="14">
      <c r="A37" s="160">
        <v>34</v>
      </c>
      <c r="B37" s="165" t="s">
        <v>282</v>
      </c>
      <c r="C37" s="627" t="s">
        <v>976</v>
      </c>
      <c r="D37" s="628" t="s">
        <v>67</v>
      </c>
      <c r="E37" s="629">
        <v>5</v>
      </c>
      <c r="F37" s="629">
        <v>5</v>
      </c>
      <c r="G37" s="629">
        <v>5</v>
      </c>
      <c r="H37" s="630">
        <f t="shared" si="1"/>
        <v>15</v>
      </c>
      <c r="I37" s="168">
        <f>IF(SUM(F37:G37)=0,'12_ФОТ'!$P$3,'12_ФОТ'!$P$4)</f>
        <v>1.46</v>
      </c>
      <c r="J37" s="167">
        <f t="shared" si="4"/>
        <v>21.9</v>
      </c>
      <c r="K37" s="166">
        <v>2</v>
      </c>
      <c r="L37" s="167">
        <f t="shared" si="5"/>
        <v>45000</v>
      </c>
      <c r="M37" s="169">
        <f t="shared" si="6"/>
        <v>985499.99999999988</v>
      </c>
      <c r="N37" s="170"/>
    </row>
    <row r="38" spans="1:14" ht="14">
      <c r="A38" s="160">
        <v>35</v>
      </c>
      <c r="B38" s="165" t="s">
        <v>273</v>
      </c>
      <c r="C38" s="165" t="s">
        <v>274</v>
      </c>
      <c r="D38" s="207" t="s">
        <v>326</v>
      </c>
      <c r="E38" s="205">
        <v>1</v>
      </c>
      <c r="F38" s="205">
        <v>0</v>
      </c>
      <c r="G38" s="205">
        <v>0</v>
      </c>
      <c r="H38" s="206">
        <f t="shared" si="1"/>
        <v>1</v>
      </c>
      <c r="I38" s="168">
        <f>IF(SUM(F38:G38)=0,'12_ФОТ'!$P$3,'12_ФОТ'!$P$4)</f>
        <v>1</v>
      </c>
      <c r="J38" s="167">
        <f>I38*H38</f>
        <v>1</v>
      </c>
      <c r="K38" s="166">
        <v>2</v>
      </c>
      <c r="L38" s="167">
        <f t="shared" si="0"/>
        <v>45000</v>
      </c>
      <c r="M38" s="169">
        <f>L38*J38</f>
        <v>45000</v>
      </c>
      <c r="N38" s="170"/>
    </row>
    <row r="39" spans="1:14" ht="14">
      <c r="A39" s="160">
        <v>36</v>
      </c>
      <c r="B39" s="165" t="s">
        <v>273</v>
      </c>
      <c r="C39" s="165" t="s">
        <v>274</v>
      </c>
      <c r="D39" s="165" t="s">
        <v>302</v>
      </c>
      <c r="E39" s="166">
        <v>1</v>
      </c>
      <c r="F39" s="166">
        <v>1</v>
      </c>
      <c r="G39" s="166">
        <v>1</v>
      </c>
      <c r="H39" s="167">
        <f>SUM(E39:G39)</f>
        <v>3</v>
      </c>
      <c r="I39" s="168">
        <f>IF(SUM(F39:G39)=0,'12_ФОТ'!$P$3,'12_ФОТ'!$P$4)</f>
        <v>1.46</v>
      </c>
      <c r="J39" s="167">
        <f>I39*H39</f>
        <v>4.38</v>
      </c>
      <c r="K39" s="166">
        <v>4</v>
      </c>
      <c r="L39" s="167">
        <f t="shared" si="0"/>
        <v>60000</v>
      </c>
      <c r="M39" s="169">
        <f>L39*J39</f>
        <v>262800</v>
      </c>
      <c r="N39" s="170"/>
    </row>
    <row r="40" spans="1:14" ht="14">
      <c r="A40" s="160">
        <v>37</v>
      </c>
      <c r="B40" s="165" t="s">
        <v>273</v>
      </c>
      <c r="C40" s="165" t="s">
        <v>274</v>
      </c>
      <c r="D40" s="203" t="s">
        <v>307</v>
      </c>
      <c r="E40" s="166">
        <v>1</v>
      </c>
      <c r="F40" s="166">
        <v>1</v>
      </c>
      <c r="G40" s="166">
        <v>1</v>
      </c>
      <c r="H40" s="167">
        <f t="shared" si="1"/>
        <v>3</v>
      </c>
      <c r="I40" s="168">
        <f>IF(SUM(F40:G40)=0,'12_ФОТ'!$P$3,'12_ФОТ'!$P$4)</f>
        <v>1.46</v>
      </c>
      <c r="J40" s="167">
        <f t="shared" si="2"/>
        <v>4.38</v>
      </c>
      <c r="K40" s="166">
        <v>2</v>
      </c>
      <c r="L40" s="167">
        <f t="shared" si="0"/>
        <v>45000</v>
      </c>
      <c r="M40" s="169">
        <f t="shared" si="3"/>
        <v>197100</v>
      </c>
      <c r="N40" s="170"/>
    </row>
    <row r="41" spans="1:14" ht="14">
      <c r="A41" s="160">
        <v>38</v>
      </c>
      <c r="B41" s="165" t="s">
        <v>273</v>
      </c>
      <c r="C41" s="165" t="s">
        <v>274</v>
      </c>
      <c r="D41" s="203" t="s">
        <v>308</v>
      </c>
      <c r="E41" s="166">
        <v>1</v>
      </c>
      <c r="F41" s="166">
        <v>1</v>
      </c>
      <c r="G41" s="166">
        <v>1</v>
      </c>
      <c r="H41" s="167">
        <f t="shared" si="1"/>
        <v>3</v>
      </c>
      <c r="I41" s="168">
        <f>IF(SUM(F41:G41)=0,'12_ФОТ'!$P$3,'12_ФОТ'!$P$4)</f>
        <v>1.46</v>
      </c>
      <c r="J41" s="167">
        <f t="shared" si="2"/>
        <v>4.38</v>
      </c>
      <c r="K41" s="166">
        <v>2</v>
      </c>
      <c r="L41" s="167">
        <f t="shared" si="0"/>
        <v>45000</v>
      </c>
      <c r="M41" s="169">
        <f t="shared" si="3"/>
        <v>197100</v>
      </c>
      <c r="N41" s="170"/>
    </row>
    <row r="42" spans="1:14" ht="14">
      <c r="A42" s="160">
        <v>39</v>
      </c>
      <c r="B42" s="165" t="s">
        <v>273</v>
      </c>
      <c r="C42" s="165" t="s">
        <v>274</v>
      </c>
      <c r="D42" s="207" t="s">
        <v>324</v>
      </c>
      <c r="E42" s="205">
        <v>1</v>
      </c>
      <c r="F42" s="205">
        <v>0</v>
      </c>
      <c r="G42" s="205">
        <v>0</v>
      </c>
      <c r="H42" s="206">
        <f t="shared" si="1"/>
        <v>1</v>
      </c>
      <c r="I42" s="168">
        <f>IF(SUM(F42:G42)=0,'12_ФОТ'!$P$3,'12_ФОТ'!$P$4)</f>
        <v>1</v>
      </c>
      <c r="J42" s="167">
        <f>I42*H42</f>
        <v>1</v>
      </c>
      <c r="K42" s="166">
        <v>4</v>
      </c>
      <c r="L42" s="167">
        <f>SUMIF($S$3:$S$12,K42,$U$3:$U$12)</f>
        <v>60000</v>
      </c>
      <c r="M42" s="169">
        <f>L42*J42</f>
        <v>60000</v>
      </c>
      <c r="N42" s="170"/>
    </row>
    <row r="43" spans="1:14" ht="14">
      <c r="A43" s="160">
        <v>40</v>
      </c>
      <c r="B43" s="165" t="s">
        <v>273</v>
      </c>
      <c r="C43" s="165" t="s">
        <v>274</v>
      </c>
      <c r="D43" s="207" t="s">
        <v>325</v>
      </c>
      <c r="E43" s="205">
        <v>1</v>
      </c>
      <c r="F43" s="205">
        <v>0</v>
      </c>
      <c r="G43" s="205">
        <v>0</v>
      </c>
      <c r="H43" s="206">
        <f t="shared" si="1"/>
        <v>1</v>
      </c>
      <c r="I43" s="168">
        <f>IF(SUM(F43:G43)=0,'12_ФОТ'!$P$3,'12_ФОТ'!$P$4)</f>
        <v>1</v>
      </c>
      <c r="J43" s="167">
        <f>I43*H43</f>
        <v>1</v>
      </c>
      <c r="K43" s="166">
        <v>4</v>
      </c>
      <c r="L43" s="167">
        <f>SUMIF($S$3:$S$12,K43,$U$3:$U$12)</f>
        <v>60000</v>
      </c>
      <c r="M43" s="169">
        <f>L43*J43</f>
        <v>60000</v>
      </c>
      <c r="N43" s="170"/>
    </row>
    <row r="44" spans="1:14" ht="14">
      <c r="A44" s="160">
        <v>41</v>
      </c>
      <c r="B44" s="165" t="s">
        <v>102</v>
      </c>
      <c r="C44" s="165" t="s">
        <v>217</v>
      </c>
      <c r="D44" s="165" t="s">
        <v>309</v>
      </c>
      <c r="E44" s="166">
        <v>1</v>
      </c>
      <c r="F44" s="166">
        <v>0</v>
      </c>
      <c r="G44" s="166">
        <v>0</v>
      </c>
      <c r="H44" s="167">
        <f t="shared" si="1"/>
        <v>1</v>
      </c>
      <c r="I44" s="168">
        <f>IF(SUM(F44:G44)=0,'12_ФОТ'!$P$3,'12_ФОТ'!$P$4)</f>
        <v>1</v>
      </c>
      <c r="J44" s="167">
        <f t="shared" si="2"/>
        <v>1</v>
      </c>
      <c r="K44" s="166">
        <v>4</v>
      </c>
      <c r="L44" s="167">
        <f t="shared" ref="L44:L55" si="7">SUMIF($S$3:$S$12,K44,$U$3:$U$12)</f>
        <v>60000</v>
      </c>
      <c r="M44" s="169">
        <f t="shared" si="3"/>
        <v>60000</v>
      </c>
      <c r="N44" s="170"/>
    </row>
    <row r="45" spans="1:14" ht="14">
      <c r="A45" s="160">
        <v>42</v>
      </c>
      <c r="B45" s="165" t="s">
        <v>102</v>
      </c>
      <c r="C45" s="165" t="s">
        <v>322</v>
      </c>
      <c r="D45" s="203" t="s">
        <v>310</v>
      </c>
      <c r="E45" s="166">
        <v>1</v>
      </c>
      <c r="F45" s="166">
        <v>1</v>
      </c>
      <c r="G45" s="166">
        <v>1</v>
      </c>
      <c r="H45" s="167">
        <f t="shared" si="1"/>
        <v>3</v>
      </c>
      <c r="I45" s="168">
        <f>IF(SUM(F45:G45)=0,'12_ФОТ'!$P$3,'12_ФОТ'!$P$4)</f>
        <v>1.46</v>
      </c>
      <c r="J45" s="167">
        <f t="shared" si="2"/>
        <v>4.38</v>
      </c>
      <c r="K45" s="166">
        <v>2</v>
      </c>
      <c r="L45" s="167">
        <f t="shared" si="7"/>
        <v>45000</v>
      </c>
      <c r="M45" s="169">
        <f t="shared" si="3"/>
        <v>197100</v>
      </c>
      <c r="N45" s="170"/>
    </row>
    <row r="46" spans="1:14" ht="14">
      <c r="A46" s="160">
        <v>43</v>
      </c>
      <c r="B46" s="165" t="s">
        <v>102</v>
      </c>
      <c r="C46" s="165" t="s">
        <v>322</v>
      </c>
      <c r="D46" s="203" t="s">
        <v>311</v>
      </c>
      <c r="E46" s="166">
        <v>1</v>
      </c>
      <c r="F46" s="166">
        <v>1</v>
      </c>
      <c r="G46" s="166">
        <v>1</v>
      </c>
      <c r="H46" s="167">
        <f t="shared" si="1"/>
        <v>3</v>
      </c>
      <c r="I46" s="168">
        <f>IF(SUM(F46:G46)=0,'12_ФОТ'!$P$3,'12_ФОТ'!$P$4)</f>
        <v>1.46</v>
      </c>
      <c r="J46" s="167">
        <f t="shared" si="2"/>
        <v>4.38</v>
      </c>
      <c r="K46" s="166">
        <v>2</v>
      </c>
      <c r="L46" s="167">
        <f t="shared" si="7"/>
        <v>45000</v>
      </c>
      <c r="M46" s="169">
        <f t="shared" si="3"/>
        <v>197100</v>
      </c>
      <c r="N46" s="170"/>
    </row>
    <row r="47" spans="1:14" ht="14">
      <c r="A47" s="160">
        <v>44</v>
      </c>
      <c r="B47" s="165" t="s">
        <v>102</v>
      </c>
      <c r="C47" s="165" t="s">
        <v>217</v>
      </c>
      <c r="D47" s="203" t="s">
        <v>312</v>
      </c>
      <c r="E47" s="166">
        <v>1</v>
      </c>
      <c r="F47" s="166">
        <v>1</v>
      </c>
      <c r="G47" s="166">
        <v>1</v>
      </c>
      <c r="H47" s="167">
        <f t="shared" si="1"/>
        <v>3</v>
      </c>
      <c r="I47" s="168">
        <f>IF(SUM(F47:G47)=0,'12_ФОТ'!$P$3,'12_ФОТ'!$P$4)</f>
        <v>1.46</v>
      </c>
      <c r="J47" s="167">
        <f t="shared" si="2"/>
        <v>4.38</v>
      </c>
      <c r="K47" s="166">
        <v>2</v>
      </c>
      <c r="L47" s="167">
        <f t="shared" si="7"/>
        <v>45000</v>
      </c>
      <c r="M47" s="169">
        <f t="shared" si="3"/>
        <v>197100</v>
      </c>
      <c r="N47" s="170"/>
    </row>
    <row r="48" spans="1:14" ht="14">
      <c r="A48" s="160">
        <v>45</v>
      </c>
      <c r="B48" s="165" t="s">
        <v>323</v>
      </c>
      <c r="C48" s="165" t="s">
        <v>217</v>
      </c>
      <c r="D48" s="203" t="s">
        <v>313</v>
      </c>
      <c r="E48" s="166">
        <v>1</v>
      </c>
      <c r="F48" s="166">
        <v>0</v>
      </c>
      <c r="G48" s="166">
        <v>0</v>
      </c>
      <c r="H48" s="167">
        <f t="shared" si="1"/>
        <v>1</v>
      </c>
      <c r="I48" s="168">
        <f>IF(SUM(F48:G48)=0,'12_ФОТ'!$P$3,'12_ФОТ'!$P$4)</f>
        <v>1</v>
      </c>
      <c r="J48" s="167">
        <f t="shared" si="2"/>
        <v>1</v>
      </c>
      <c r="K48" s="166">
        <v>3</v>
      </c>
      <c r="L48" s="167">
        <f t="shared" si="7"/>
        <v>52000</v>
      </c>
      <c r="M48" s="169">
        <f t="shared" si="3"/>
        <v>52000</v>
      </c>
      <c r="N48" s="170"/>
    </row>
    <row r="49" spans="1:14" ht="14">
      <c r="A49" s="160">
        <v>46</v>
      </c>
      <c r="B49" s="165" t="s">
        <v>323</v>
      </c>
      <c r="C49" s="165" t="s">
        <v>217</v>
      </c>
      <c r="D49" s="203" t="s">
        <v>314</v>
      </c>
      <c r="E49" s="166">
        <v>2</v>
      </c>
      <c r="F49" s="166">
        <v>1</v>
      </c>
      <c r="G49" s="166">
        <v>1</v>
      </c>
      <c r="H49" s="167">
        <f t="shared" si="1"/>
        <v>4</v>
      </c>
      <c r="I49" s="168">
        <f>IF(SUM(F49:G49)=0,'12_ФОТ'!$P$3,'12_ФОТ'!$P$4)</f>
        <v>1.46</v>
      </c>
      <c r="J49" s="167">
        <f t="shared" si="2"/>
        <v>5.84</v>
      </c>
      <c r="K49" s="166">
        <v>2</v>
      </c>
      <c r="L49" s="167">
        <f t="shared" si="7"/>
        <v>45000</v>
      </c>
      <c r="M49" s="169">
        <f t="shared" si="3"/>
        <v>262800</v>
      </c>
      <c r="N49" s="170"/>
    </row>
    <row r="50" spans="1:14" ht="28">
      <c r="A50" s="160">
        <v>47</v>
      </c>
      <c r="B50" s="165" t="s">
        <v>321</v>
      </c>
      <c r="C50" s="165" t="s">
        <v>274</v>
      </c>
      <c r="D50" s="203" t="s">
        <v>315</v>
      </c>
      <c r="E50" s="166">
        <v>1</v>
      </c>
      <c r="F50" s="166">
        <v>0</v>
      </c>
      <c r="G50" s="166">
        <v>0</v>
      </c>
      <c r="H50" s="167">
        <f t="shared" si="1"/>
        <v>1</v>
      </c>
      <c r="I50" s="168">
        <f>IF(SUM(F50:G50)=0,'12_ФОТ'!$P$3,'12_ФОТ'!$P$4)</f>
        <v>1</v>
      </c>
      <c r="J50" s="167">
        <f t="shared" si="2"/>
        <v>1</v>
      </c>
      <c r="K50" s="166">
        <v>3</v>
      </c>
      <c r="L50" s="167">
        <f t="shared" si="7"/>
        <v>52000</v>
      </c>
      <c r="M50" s="169">
        <f t="shared" si="3"/>
        <v>52000</v>
      </c>
      <c r="N50" s="170"/>
    </row>
    <row r="51" spans="1:14" ht="28">
      <c r="A51" s="160">
        <v>48</v>
      </c>
      <c r="B51" s="165" t="s">
        <v>321</v>
      </c>
      <c r="C51" s="165" t="s">
        <v>274</v>
      </c>
      <c r="D51" s="203" t="s">
        <v>271</v>
      </c>
      <c r="E51" s="166">
        <v>2</v>
      </c>
      <c r="F51" s="166">
        <v>0</v>
      </c>
      <c r="G51" s="166">
        <v>0</v>
      </c>
      <c r="H51" s="167">
        <f t="shared" si="1"/>
        <v>2</v>
      </c>
      <c r="I51" s="168">
        <f>IF(SUM(F51:G51)=0,'12_ФОТ'!$P$3,'12_ФОТ'!$P$4)</f>
        <v>1</v>
      </c>
      <c r="J51" s="167">
        <f t="shared" si="2"/>
        <v>2</v>
      </c>
      <c r="K51" s="166">
        <v>0</v>
      </c>
      <c r="L51" s="167">
        <f t="shared" si="7"/>
        <v>25000</v>
      </c>
      <c r="M51" s="169">
        <f t="shared" si="3"/>
        <v>50000</v>
      </c>
      <c r="N51" s="170"/>
    </row>
    <row r="52" spans="1:14" ht="28">
      <c r="A52" s="160">
        <v>49</v>
      </c>
      <c r="B52" s="165" t="s">
        <v>321</v>
      </c>
      <c r="C52" s="165" t="s">
        <v>274</v>
      </c>
      <c r="D52" s="203" t="s">
        <v>316</v>
      </c>
      <c r="E52" s="166">
        <v>8</v>
      </c>
      <c r="F52" s="166">
        <v>0</v>
      </c>
      <c r="G52" s="166">
        <v>0</v>
      </c>
      <c r="H52" s="167">
        <f t="shared" si="1"/>
        <v>8</v>
      </c>
      <c r="I52" s="168">
        <f>IF(SUM(F52:G52)=0,'12_ФОТ'!$P$3,'12_ФОТ'!$P$4)</f>
        <v>1</v>
      </c>
      <c r="J52" s="167">
        <f t="shared" si="2"/>
        <v>8</v>
      </c>
      <c r="K52" s="166">
        <v>0</v>
      </c>
      <c r="L52" s="167">
        <f t="shared" si="7"/>
        <v>25000</v>
      </c>
      <c r="M52" s="169">
        <f t="shared" si="3"/>
        <v>200000</v>
      </c>
      <c r="N52" s="170"/>
    </row>
    <row r="53" spans="1:14" ht="28">
      <c r="A53" s="160">
        <v>50</v>
      </c>
      <c r="B53" s="165" t="s">
        <v>321</v>
      </c>
      <c r="C53" s="165" t="s">
        <v>274</v>
      </c>
      <c r="D53" s="203" t="s">
        <v>275</v>
      </c>
      <c r="E53" s="166">
        <v>2</v>
      </c>
      <c r="F53" s="166">
        <v>0</v>
      </c>
      <c r="G53" s="166">
        <v>0</v>
      </c>
      <c r="H53" s="167">
        <f t="shared" si="1"/>
        <v>2</v>
      </c>
      <c r="I53" s="168">
        <f>IF(SUM(F53:G53)=0,'12_ФОТ'!$P$3,'12_ФОТ'!$P$4)</f>
        <v>1</v>
      </c>
      <c r="J53" s="167">
        <f t="shared" si="2"/>
        <v>2</v>
      </c>
      <c r="K53" s="166">
        <v>0</v>
      </c>
      <c r="L53" s="167">
        <f t="shared" si="7"/>
        <v>25000</v>
      </c>
      <c r="M53" s="169">
        <f t="shared" si="3"/>
        <v>50000</v>
      </c>
      <c r="N53" s="170"/>
    </row>
    <row r="54" spans="1:14" ht="28">
      <c r="A54" s="160">
        <v>51</v>
      </c>
      <c r="B54" s="165" t="s">
        <v>321</v>
      </c>
      <c r="C54" s="165" t="s">
        <v>274</v>
      </c>
      <c r="D54" s="203" t="s">
        <v>317</v>
      </c>
      <c r="E54" s="166">
        <v>1</v>
      </c>
      <c r="F54" s="166">
        <v>0</v>
      </c>
      <c r="G54" s="166">
        <v>0</v>
      </c>
      <c r="H54" s="167">
        <f t="shared" si="1"/>
        <v>1</v>
      </c>
      <c r="I54" s="168">
        <f>IF(SUM(F54:G54)=0,'12_ФОТ'!$P$3,'12_ФОТ'!$P$4)</f>
        <v>1</v>
      </c>
      <c r="J54" s="167">
        <f t="shared" si="2"/>
        <v>1</v>
      </c>
      <c r="K54" s="166">
        <v>1</v>
      </c>
      <c r="L54" s="167">
        <f t="shared" si="7"/>
        <v>40000</v>
      </c>
      <c r="M54" s="169">
        <f t="shared" si="3"/>
        <v>40000</v>
      </c>
      <c r="N54" s="170"/>
    </row>
    <row r="55" spans="1:14" ht="14">
      <c r="A55" s="160">
        <v>52</v>
      </c>
      <c r="B55" s="165" t="s">
        <v>962</v>
      </c>
      <c r="C55" s="165" t="s">
        <v>962</v>
      </c>
      <c r="D55" s="203" t="s">
        <v>963</v>
      </c>
      <c r="E55" s="166">
        <v>1</v>
      </c>
      <c r="F55" s="166">
        <v>0</v>
      </c>
      <c r="G55" s="166">
        <v>0</v>
      </c>
      <c r="H55" s="167">
        <f t="shared" si="1"/>
        <v>1</v>
      </c>
      <c r="I55" s="168">
        <f>IF(SUM(F55:G55)=0,'12_ФОТ'!$P$3,'12_ФОТ'!$P$4)</f>
        <v>1</v>
      </c>
      <c r="J55" s="167">
        <f t="shared" si="2"/>
        <v>1</v>
      </c>
      <c r="K55" s="166">
        <v>5</v>
      </c>
      <c r="L55" s="167">
        <f t="shared" si="7"/>
        <v>70000</v>
      </c>
      <c r="M55" s="169">
        <f t="shared" si="3"/>
        <v>70000</v>
      </c>
      <c r="N55" s="170"/>
    </row>
    <row r="56" spans="1:14" ht="14">
      <c r="A56" s="160">
        <v>53</v>
      </c>
      <c r="B56" s="165" t="s">
        <v>962</v>
      </c>
      <c r="C56" s="165" t="s">
        <v>962</v>
      </c>
      <c r="D56" s="207" t="s">
        <v>333</v>
      </c>
      <c r="E56" s="166">
        <v>1</v>
      </c>
      <c r="F56" s="166">
        <v>1</v>
      </c>
      <c r="G56" s="166">
        <v>1</v>
      </c>
      <c r="H56" s="167">
        <f t="shared" ref="H56:H61" si="8">SUM(E56:G56)</f>
        <v>3</v>
      </c>
      <c r="I56" s="168">
        <f>IF(SUM(F56:G56)=0,'12_ФОТ'!$P$3,'12_ФОТ'!$P$4)</f>
        <v>1.46</v>
      </c>
      <c r="J56" s="167">
        <f t="shared" ref="J56:J61" si="9">I56*H56</f>
        <v>4.38</v>
      </c>
      <c r="K56" s="166">
        <v>3</v>
      </c>
      <c r="L56" s="167">
        <f t="shared" ref="L56:L67" si="10">SUMIF($S$3:$S$12,K56,$U$3:$U$12)</f>
        <v>52000</v>
      </c>
      <c r="M56" s="169">
        <f t="shared" ref="M56:M61" si="11">L56*J56</f>
        <v>227760</v>
      </c>
      <c r="N56" s="170"/>
    </row>
    <row r="57" spans="1:14" ht="28">
      <c r="A57" s="160">
        <v>54</v>
      </c>
      <c r="B57" s="165" t="s">
        <v>962</v>
      </c>
      <c r="C57" s="165" t="s">
        <v>962</v>
      </c>
      <c r="D57" s="207" t="s">
        <v>334</v>
      </c>
      <c r="E57" s="166">
        <v>1</v>
      </c>
      <c r="F57" s="166">
        <v>1</v>
      </c>
      <c r="G57" s="166">
        <v>1</v>
      </c>
      <c r="H57" s="167">
        <f t="shared" si="8"/>
        <v>3</v>
      </c>
      <c r="I57" s="168">
        <f>IF(SUM(F57:G57)=0,'12_ФОТ'!$P$3,'12_ФОТ'!$P$4)</f>
        <v>1.46</v>
      </c>
      <c r="J57" s="167">
        <f t="shared" si="9"/>
        <v>4.38</v>
      </c>
      <c r="K57" s="166">
        <v>2</v>
      </c>
      <c r="L57" s="167">
        <f t="shared" si="10"/>
        <v>45000</v>
      </c>
      <c r="M57" s="169">
        <f t="shared" si="11"/>
        <v>197100</v>
      </c>
      <c r="N57" s="170"/>
    </row>
    <row r="58" spans="1:14" ht="14">
      <c r="A58" s="160">
        <v>55</v>
      </c>
      <c r="B58" s="165" t="s">
        <v>962</v>
      </c>
      <c r="C58" s="204" t="s">
        <v>338</v>
      </c>
      <c r="D58" s="207" t="s">
        <v>335</v>
      </c>
      <c r="E58" s="166">
        <v>1</v>
      </c>
      <c r="F58" s="166">
        <v>1</v>
      </c>
      <c r="G58" s="166">
        <v>1</v>
      </c>
      <c r="H58" s="167">
        <f t="shared" si="8"/>
        <v>3</v>
      </c>
      <c r="I58" s="168">
        <f>IF(SUM(F58:G58)=0,'12_ФОТ'!$P$3,'12_ФОТ'!$P$4)</f>
        <v>1.46</v>
      </c>
      <c r="J58" s="167">
        <f t="shared" si="9"/>
        <v>4.38</v>
      </c>
      <c r="K58" s="166">
        <v>2</v>
      </c>
      <c r="L58" s="167">
        <f t="shared" si="10"/>
        <v>45000</v>
      </c>
      <c r="M58" s="169">
        <f t="shared" si="11"/>
        <v>197100</v>
      </c>
      <c r="N58" s="170"/>
    </row>
    <row r="59" spans="1:14" ht="14">
      <c r="A59" s="160">
        <v>56</v>
      </c>
      <c r="B59" s="165" t="s">
        <v>964</v>
      </c>
      <c r="C59" s="204" t="s">
        <v>965</v>
      </c>
      <c r="D59" s="207" t="s">
        <v>966</v>
      </c>
      <c r="E59" s="166">
        <v>1</v>
      </c>
      <c r="F59" s="166">
        <v>1</v>
      </c>
      <c r="G59" s="166">
        <v>1</v>
      </c>
      <c r="H59" s="167">
        <f t="shared" si="8"/>
        <v>3</v>
      </c>
      <c r="I59" s="168">
        <f>IF(SUM(F59:G59)=0,'12_ФОТ'!$P$3,'12_ФОТ'!$P$4)</f>
        <v>1.46</v>
      </c>
      <c r="J59" s="167">
        <f t="shared" si="9"/>
        <v>4.38</v>
      </c>
      <c r="K59" s="166">
        <v>2</v>
      </c>
      <c r="L59" s="167">
        <f t="shared" si="10"/>
        <v>45000</v>
      </c>
      <c r="M59" s="169">
        <f t="shared" si="11"/>
        <v>197100</v>
      </c>
      <c r="N59" s="170"/>
    </row>
    <row r="60" spans="1:14" ht="14">
      <c r="A60" s="160">
        <v>57</v>
      </c>
      <c r="B60" s="165" t="s">
        <v>964</v>
      </c>
      <c r="C60" s="204" t="s">
        <v>965</v>
      </c>
      <c r="D60" s="628" t="s">
        <v>967</v>
      </c>
      <c r="E60" s="166">
        <v>2</v>
      </c>
      <c r="F60" s="166">
        <v>2</v>
      </c>
      <c r="G60" s="166">
        <v>2</v>
      </c>
      <c r="H60" s="167">
        <f t="shared" si="8"/>
        <v>6</v>
      </c>
      <c r="I60" s="168">
        <f>IF(SUM(F60:G60)=0,'12_ФОТ'!$P$3,'12_ФОТ'!$P$4)</f>
        <v>1.46</v>
      </c>
      <c r="J60" s="167">
        <f t="shared" si="9"/>
        <v>8.76</v>
      </c>
      <c r="K60" s="166">
        <v>3</v>
      </c>
      <c r="L60" s="167">
        <f t="shared" ref="L60:L61" si="12">SUMIF($S$3:$S$12,K60,$U$3:$U$12)</f>
        <v>52000</v>
      </c>
      <c r="M60" s="169">
        <f t="shared" si="11"/>
        <v>455520</v>
      </c>
      <c r="N60" s="170"/>
    </row>
    <row r="61" spans="1:14" ht="14">
      <c r="A61" s="160">
        <v>58</v>
      </c>
      <c r="B61" s="165" t="s">
        <v>964</v>
      </c>
      <c r="C61" s="204" t="s">
        <v>965</v>
      </c>
      <c r="D61" s="628" t="s">
        <v>968</v>
      </c>
      <c r="E61" s="629">
        <v>1</v>
      </c>
      <c r="F61" s="629">
        <v>1</v>
      </c>
      <c r="G61" s="629">
        <v>1</v>
      </c>
      <c r="H61" s="167">
        <f t="shared" si="8"/>
        <v>3</v>
      </c>
      <c r="I61" s="168">
        <f>IF(SUM(F61:G61)=0,'12_ФОТ'!$P$3,'12_ФОТ'!$P$4)</f>
        <v>1.46</v>
      </c>
      <c r="J61" s="167">
        <f t="shared" si="9"/>
        <v>4.38</v>
      </c>
      <c r="K61" s="629">
        <v>4</v>
      </c>
      <c r="L61" s="630">
        <f t="shared" si="12"/>
        <v>60000</v>
      </c>
      <c r="M61" s="631">
        <f t="shared" si="11"/>
        <v>262800</v>
      </c>
      <c r="N61" s="170"/>
    </row>
    <row r="62" spans="1:14" ht="28">
      <c r="A62" s="160">
        <v>59</v>
      </c>
      <c r="B62" s="627" t="s">
        <v>969</v>
      </c>
      <c r="C62" s="627" t="s">
        <v>978</v>
      </c>
      <c r="D62" s="628" t="s">
        <v>68</v>
      </c>
      <c r="E62" s="629">
        <v>1</v>
      </c>
      <c r="F62" s="629">
        <v>0</v>
      </c>
      <c r="G62" s="629">
        <v>0</v>
      </c>
      <c r="H62" s="167">
        <f t="shared" ref="H62:H64" si="13">SUM(E62:G62)</f>
        <v>1</v>
      </c>
      <c r="I62" s="168">
        <f>IF(SUM(F62:G62)=0,'12_ФОТ'!$P$3,'12_ФОТ'!$P$4)</f>
        <v>1</v>
      </c>
      <c r="J62" s="167">
        <f t="shared" ref="J62:J64" si="14">I62*H62</f>
        <v>1</v>
      </c>
      <c r="K62" s="629">
        <v>6</v>
      </c>
      <c r="L62" s="630">
        <f t="shared" ref="L62:L64" si="15">SUMIF($S$3:$S$12,K62,$U$3:$U$12)</f>
        <v>100000</v>
      </c>
      <c r="M62" s="631">
        <f t="shared" ref="M62:M64" si="16">L62*J62</f>
        <v>100000</v>
      </c>
      <c r="N62" s="170"/>
    </row>
    <row r="63" spans="1:14" ht="28">
      <c r="A63" s="160">
        <v>60</v>
      </c>
      <c r="B63" s="627" t="s">
        <v>969</v>
      </c>
      <c r="C63" s="627" t="s">
        <v>978</v>
      </c>
      <c r="D63" s="628" t="s">
        <v>333</v>
      </c>
      <c r="E63" s="629">
        <v>1</v>
      </c>
      <c r="F63" s="629">
        <v>1</v>
      </c>
      <c r="G63" s="629">
        <v>1</v>
      </c>
      <c r="H63" s="167">
        <f t="shared" si="13"/>
        <v>3</v>
      </c>
      <c r="I63" s="168">
        <f>IF(SUM(F63:G63)=0,'12_ФОТ'!$P$3,'12_ФОТ'!$P$4)</f>
        <v>1.46</v>
      </c>
      <c r="J63" s="167">
        <f t="shared" si="14"/>
        <v>4.38</v>
      </c>
      <c r="K63" s="629">
        <v>3</v>
      </c>
      <c r="L63" s="630">
        <f t="shared" si="15"/>
        <v>52000</v>
      </c>
      <c r="M63" s="631">
        <f t="shared" si="16"/>
        <v>227760</v>
      </c>
      <c r="N63" s="170"/>
    </row>
    <row r="64" spans="1:14" ht="28">
      <c r="A64" s="160">
        <v>61</v>
      </c>
      <c r="B64" s="627" t="s">
        <v>969</v>
      </c>
      <c r="C64" s="627" t="s">
        <v>978</v>
      </c>
      <c r="D64" s="628" t="s">
        <v>970</v>
      </c>
      <c r="E64" s="629">
        <v>8</v>
      </c>
      <c r="F64" s="629">
        <v>8</v>
      </c>
      <c r="G64" s="629">
        <v>8</v>
      </c>
      <c r="H64" s="167">
        <f t="shared" si="13"/>
        <v>24</v>
      </c>
      <c r="I64" s="168">
        <f>IF(SUM(F64:G64)=0,'12_ФОТ'!$P$3,'12_ФОТ'!$P$4)</f>
        <v>1.46</v>
      </c>
      <c r="J64" s="167">
        <f t="shared" si="14"/>
        <v>35.04</v>
      </c>
      <c r="K64" s="629">
        <v>2</v>
      </c>
      <c r="L64" s="630">
        <f t="shared" si="15"/>
        <v>45000</v>
      </c>
      <c r="M64" s="631">
        <f t="shared" si="16"/>
        <v>1576800</v>
      </c>
      <c r="N64" s="170"/>
    </row>
    <row r="65" spans="1:15" ht="28">
      <c r="A65" s="160">
        <v>62</v>
      </c>
      <c r="B65" s="165" t="s">
        <v>270</v>
      </c>
      <c r="C65" s="165" t="s">
        <v>337</v>
      </c>
      <c r="D65" s="165" t="s">
        <v>336</v>
      </c>
      <c r="E65" s="166">
        <v>1</v>
      </c>
      <c r="F65" s="166">
        <v>1</v>
      </c>
      <c r="G65" s="166">
        <v>1</v>
      </c>
      <c r="H65" s="167">
        <f t="shared" si="1"/>
        <v>3</v>
      </c>
      <c r="I65" s="168">
        <f>IF(SUM(F65:G65)=0,'12_ФОТ'!$P$3,'12_ФОТ'!$P$4)</f>
        <v>1.46</v>
      </c>
      <c r="J65" s="167">
        <f t="shared" si="2"/>
        <v>4.38</v>
      </c>
      <c r="K65" s="166">
        <v>2</v>
      </c>
      <c r="L65" s="167">
        <f t="shared" si="10"/>
        <v>45000</v>
      </c>
      <c r="M65" s="169">
        <f t="shared" si="3"/>
        <v>197100</v>
      </c>
      <c r="N65" s="170"/>
    </row>
    <row r="66" spans="1:15" ht="28">
      <c r="A66" s="160">
        <v>63</v>
      </c>
      <c r="B66" s="213" t="s">
        <v>340</v>
      </c>
      <c r="C66" s="213" t="s">
        <v>341</v>
      </c>
      <c r="D66" s="213" t="s">
        <v>68</v>
      </c>
      <c r="E66" s="214">
        <v>1</v>
      </c>
      <c r="F66" s="214">
        <v>0</v>
      </c>
      <c r="G66" s="214">
        <v>0</v>
      </c>
      <c r="H66" s="215">
        <f t="shared" si="1"/>
        <v>1</v>
      </c>
      <c r="I66" s="168">
        <f>IF(SUM(F66:G66)=0,'12_ФОТ'!$P$3,'12_ФОТ'!$P$4)</f>
        <v>1</v>
      </c>
      <c r="J66" s="167">
        <f>I66*H66</f>
        <v>1</v>
      </c>
      <c r="K66" s="166">
        <v>5</v>
      </c>
      <c r="L66" s="167">
        <f t="shared" si="10"/>
        <v>70000</v>
      </c>
      <c r="M66" s="169">
        <f>L66*J66</f>
        <v>70000</v>
      </c>
      <c r="N66" s="170"/>
    </row>
    <row r="67" spans="1:15" ht="28">
      <c r="A67" s="160">
        <v>64</v>
      </c>
      <c r="B67" s="213" t="s">
        <v>340</v>
      </c>
      <c r="C67" s="213" t="s">
        <v>341</v>
      </c>
      <c r="D67" s="213" t="s">
        <v>67</v>
      </c>
      <c r="E67" s="214">
        <v>1</v>
      </c>
      <c r="F67" s="214">
        <v>1</v>
      </c>
      <c r="G67" s="214">
        <v>1</v>
      </c>
      <c r="H67" s="215">
        <f>SUM(E67:G67)</f>
        <v>3</v>
      </c>
      <c r="I67" s="168">
        <f>IF(SUM(F67:G67)=0,'12_ФОТ'!$P$3,'12_ФОТ'!$P$4)</f>
        <v>1.46</v>
      </c>
      <c r="J67" s="167">
        <f>I67*H67</f>
        <v>4.38</v>
      </c>
      <c r="K67" s="166">
        <v>3</v>
      </c>
      <c r="L67" s="167">
        <f t="shared" si="10"/>
        <v>52000</v>
      </c>
      <c r="M67" s="169">
        <f>L67*J67</f>
        <v>227760</v>
      </c>
      <c r="N67" s="170"/>
    </row>
    <row r="68" spans="1:15" ht="22" customHeight="1" thickBot="1">
      <c r="A68" s="826" t="s">
        <v>97</v>
      </c>
      <c r="B68" s="827"/>
      <c r="C68" s="827"/>
      <c r="D68" s="827"/>
      <c r="E68" s="176">
        <f>SUM(E4:E67)</f>
        <v>118</v>
      </c>
      <c r="F68" s="176">
        <f>SUM(F4:F67)</f>
        <v>69</v>
      </c>
      <c r="G68" s="176">
        <f>SUM(G4:G67)</f>
        <v>69</v>
      </c>
      <c r="H68" s="176">
        <f>SUM(H4:H67)</f>
        <v>256</v>
      </c>
      <c r="I68" s="176"/>
      <c r="J68" s="176">
        <f>SUM(J4:J67)</f>
        <v>351.67999999999995</v>
      </c>
      <c r="K68" s="176"/>
      <c r="L68" s="176">
        <f>SUM(L4:L67)</f>
        <v>4477000</v>
      </c>
      <c r="M68" s="177">
        <f>SUM(M4:M67)</f>
        <v>17510660</v>
      </c>
      <c r="N68" s="178"/>
      <c r="O68" s="155"/>
    </row>
    <row r="69" spans="1:15" ht="14">
      <c r="E69" s="170">
        <f>SUM(E27:E67)-SUM(E45:E49)</f>
        <v>87</v>
      </c>
      <c r="H69" s="154" t="s">
        <v>276</v>
      </c>
      <c r="J69" s="170">
        <f>SUM(J22:J67)-SUM(J45:J49)</f>
        <v>311.69999999999993</v>
      </c>
    </row>
  </sheetData>
  <autoFilter ref="A2:D68" xr:uid="{00000000-0009-0000-0000-000002000000}"/>
  <mergeCells count="18">
    <mergeCell ref="L2:L3"/>
    <mergeCell ref="M2:M3"/>
    <mergeCell ref="T25:U25"/>
    <mergeCell ref="A1:K1"/>
    <mergeCell ref="T23:U23"/>
    <mergeCell ref="T24:U24"/>
    <mergeCell ref="A68:D68"/>
    <mergeCell ref="O1:Q1"/>
    <mergeCell ref="S1:U1"/>
    <mergeCell ref="A2:A3"/>
    <mergeCell ref="B2:B3"/>
    <mergeCell ref="C2:C3"/>
    <mergeCell ref="D2:D3"/>
    <mergeCell ref="E2:G2"/>
    <mergeCell ref="H2:H3"/>
    <mergeCell ref="I2:I3"/>
    <mergeCell ref="J2:J3"/>
    <mergeCell ref="K2:K3"/>
  </mergeCells>
  <hyperlinks>
    <hyperlink ref="X24" r:id="rId1" xr:uid="{B261AE25-00B0-3D45-A797-288E64B28F1B}"/>
  </hyperlinks>
  <pageMargins left="0.7" right="0.7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3C7B3-FE53-F14A-A771-66912A69B84F}">
  <dimension ref="A1:E36"/>
  <sheetViews>
    <sheetView zoomScale="130" zoomScaleNormal="130" workbookViewId="0">
      <selection activeCell="F8" sqref="F8"/>
    </sheetView>
  </sheetViews>
  <sheetFormatPr baseColWidth="10" defaultRowHeight="15"/>
  <cols>
    <col min="1" max="1" width="6.1640625" style="3" bestFit="1" customWidth="1"/>
    <col min="2" max="2" width="30.6640625" style="3" customWidth="1"/>
    <col min="3" max="3" width="22.83203125" style="3" customWidth="1"/>
    <col min="4" max="4" width="16.5" style="3" customWidth="1"/>
    <col min="5" max="5" width="13.5" style="3" customWidth="1"/>
    <col min="6" max="16384" width="10.83203125" style="3"/>
  </cols>
  <sheetData>
    <row r="1" spans="1:5" ht="47" customHeight="1">
      <c r="A1" s="785" t="s">
        <v>1244</v>
      </c>
      <c r="B1" s="785"/>
      <c r="C1" s="785"/>
      <c r="D1" s="785"/>
    </row>
    <row r="2" spans="1:5" ht="16" customHeight="1">
      <c r="A2" s="786" t="s">
        <v>639</v>
      </c>
      <c r="B2" s="786"/>
      <c r="C2" s="786"/>
      <c r="D2" s="413" t="s">
        <v>640</v>
      </c>
      <c r="E2" s="635" t="s">
        <v>641</v>
      </c>
    </row>
    <row r="3" spans="1:5" ht="34" customHeight="1">
      <c r="A3" s="784" t="s">
        <v>18</v>
      </c>
      <c r="B3" s="784" t="s">
        <v>31</v>
      </c>
      <c r="C3" s="784" t="s">
        <v>1</v>
      </c>
      <c r="D3" s="784" t="s">
        <v>1241</v>
      </c>
      <c r="E3" s="784" t="s">
        <v>1155</v>
      </c>
    </row>
    <row r="4" spans="1:5">
      <c r="A4" s="784"/>
      <c r="B4" s="784"/>
      <c r="C4" s="784"/>
      <c r="D4" s="784"/>
      <c r="E4" s="784"/>
    </row>
    <row r="5" spans="1:5" ht="16">
      <c r="A5" s="83">
        <v>1</v>
      </c>
      <c r="B5" s="31" t="s">
        <v>638</v>
      </c>
      <c r="C5" s="30" t="s">
        <v>150</v>
      </c>
      <c r="D5" s="432">
        <f>'2_Бюджет'!B7</f>
        <v>7109.2823597437509</v>
      </c>
      <c r="E5" s="30"/>
    </row>
    <row r="6" spans="1:5" ht="16">
      <c r="A6" s="83" t="s">
        <v>115</v>
      </c>
      <c r="B6" s="31" t="s">
        <v>44</v>
      </c>
      <c r="C6" s="30" t="s">
        <v>150</v>
      </c>
      <c r="D6" s="32">
        <f>'2_Бюджет'!B5</f>
        <v>3990.014329639584</v>
      </c>
      <c r="E6" s="30"/>
    </row>
    <row r="7" spans="1:5" ht="16">
      <c r="A7" s="83" t="s">
        <v>642</v>
      </c>
      <c r="B7" s="31" t="s">
        <v>1141</v>
      </c>
      <c r="C7" s="30" t="s">
        <v>150</v>
      </c>
      <c r="D7" s="32">
        <f>'5_Оборуд'!N3</f>
        <v>2786.5689713182719</v>
      </c>
      <c r="E7" s="30"/>
    </row>
    <row r="8" spans="1:5" ht="16">
      <c r="A8" s="83" t="s">
        <v>643</v>
      </c>
      <c r="B8" s="31" t="s">
        <v>1142</v>
      </c>
      <c r="C8" s="30" t="s">
        <v>150</v>
      </c>
      <c r="D8" s="32">
        <f>'5_Оборуд'!N14</f>
        <v>548.04792149452805</v>
      </c>
      <c r="E8" s="30"/>
    </row>
    <row r="9" spans="1:5" ht="16">
      <c r="A9" s="83" t="s">
        <v>644</v>
      </c>
      <c r="B9" s="31" t="s">
        <v>61</v>
      </c>
      <c r="C9" s="30" t="s">
        <v>150</v>
      </c>
      <c r="D9" s="32">
        <f>'5_Оборуд'!N13</f>
        <v>184.57600000000002</v>
      </c>
      <c r="E9" s="30"/>
    </row>
    <row r="10" spans="1:5" ht="16">
      <c r="A10" s="83" t="s">
        <v>645</v>
      </c>
      <c r="B10" s="31" t="s">
        <v>352</v>
      </c>
      <c r="C10" s="30" t="s">
        <v>150</v>
      </c>
      <c r="D10" s="32">
        <f>'5_Оборуд'!N11</f>
        <v>81.771444550458739</v>
      </c>
      <c r="E10" s="30"/>
    </row>
    <row r="11" spans="1:5" ht="16">
      <c r="A11" s="83" t="s">
        <v>646</v>
      </c>
      <c r="B11" s="31" t="s">
        <v>1143</v>
      </c>
      <c r="C11" s="30" t="s">
        <v>150</v>
      </c>
      <c r="D11" s="32">
        <f>'5_Оборуд'!N10</f>
        <v>62.09324800000001</v>
      </c>
      <c r="E11" s="30"/>
    </row>
    <row r="12" spans="1:5" ht="16">
      <c r="A12" s="83" t="s">
        <v>116</v>
      </c>
      <c r="B12" s="31" t="s">
        <v>656</v>
      </c>
      <c r="C12" s="30" t="s">
        <v>150</v>
      </c>
      <c r="D12" s="32">
        <f>'2_Бюджет'!B4</f>
        <v>3119.2680301041669</v>
      </c>
      <c r="E12" s="30"/>
    </row>
    <row r="13" spans="1:5" ht="16">
      <c r="A13" s="430" t="s">
        <v>161</v>
      </c>
      <c r="B13" s="426" t="s">
        <v>1144</v>
      </c>
      <c r="C13" s="30" t="s">
        <v>1145</v>
      </c>
      <c r="D13" s="432">
        <f>'11_Цены_СиМ'!F3</f>
        <v>13521.685000000001</v>
      </c>
      <c r="E13" s="30"/>
    </row>
    <row r="14" spans="1:5" ht="16">
      <c r="A14" s="83" t="s">
        <v>165</v>
      </c>
      <c r="B14" s="31" t="s">
        <v>658</v>
      </c>
      <c r="C14" s="30" t="s">
        <v>28</v>
      </c>
      <c r="D14" s="414">
        <f>'6_МБ_ЛК_Ку-за'!F8</f>
        <v>0.65</v>
      </c>
      <c r="E14" s="30"/>
    </row>
    <row r="15" spans="1:5" ht="16">
      <c r="A15" s="771" t="s">
        <v>170</v>
      </c>
      <c r="B15" s="772" t="s">
        <v>1147</v>
      </c>
      <c r="C15" s="773" t="s">
        <v>1146</v>
      </c>
      <c r="D15" s="774">
        <f>'8-1_ЛК'!F7</f>
        <v>96920.503330000007</v>
      </c>
      <c r="E15" s="431"/>
    </row>
    <row r="16" spans="1:5" ht="31" customHeight="1">
      <c r="A16" s="775" t="s">
        <v>174</v>
      </c>
      <c r="B16" s="776" t="s">
        <v>1242</v>
      </c>
      <c r="C16" s="431" t="s">
        <v>1146</v>
      </c>
      <c r="D16" s="432">
        <f>'8-1_ЛК'!F8</f>
        <v>143565.70192999998</v>
      </c>
      <c r="E16" s="30"/>
    </row>
    <row r="17" spans="1:5" ht="16">
      <c r="A17" s="83" t="s">
        <v>182</v>
      </c>
      <c r="B17" s="31" t="s">
        <v>659</v>
      </c>
      <c r="C17" s="30" t="s">
        <v>661</v>
      </c>
      <c r="D17" s="32">
        <f>'12_ФОТ'!J68</f>
        <v>351.67999999999995</v>
      </c>
      <c r="E17" s="30"/>
    </row>
    <row r="18" spans="1:5" ht="16">
      <c r="A18" s="83" t="s">
        <v>186</v>
      </c>
      <c r="B18" s="31" t="s">
        <v>122</v>
      </c>
      <c r="C18" s="30" t="s">
        <v>150</v>
      </c>
      <c r="D18" s="401">
        <f>'12_ФОТ'!V22/1000/1000</f>
        <v>22.886432620000001</v>
      </c>
      <c r="E18" s="30"/>
    </row>
    <row r="19" spans="1:5" ht="16">
      <c r="A19" s="416" t="s">
        <v>188</v>
      </c>
      <c r="B19" s="417" t="s">
        <v>1202</v>
      </c>
      <c r="C19" s="257" t="s">
        <v>560</v>
      </c>
      <c r="D19" s="258">
        <f>'10_К-ция_ЛК'!F19</f>
        <v>65478.470217438924</v>
      </c>
      <c r="E19" s="30"/>
    </row>
    <row r="20" spans="1:5" ht="16">
      <c r="A20" s="83" t="s">
        <v>1157</v>
      </c>
      <c r="B20" s="415" t="s">
        <v>559</v>
      </c>
      <c r="C20" s="30" t="s">
        <v>560</v>
      </c>
      <c r="D20" s="32">
        <f>'10_К-ция_ЛК'!F3</f>
        <v>26292.165277777782</v>
      </c>
      <c r="E20" s="30"/>
    </row>
    <row r="21" spans="1:5" ht="16">
      <c r="A21" s="83" t="s">
        <v>1158</v>
      </c>
      <c r="B21" s="415" t="s">
        <v>1203</v>
      </c>
      <c r="C21" s="30" t="s">
        <v>560</v>
      </c>
      <c r="D21" s="32">
        <f>SUM('10_К-ция_ЛК'!F4:F13)</f>
        <v>15704.771009035001</v>
      </c>
      <c r="E21" s="30"/>
    </row>
    <row r="22" spans="1:5" ht="16">
      <c r="A22" s="83" t="s">
        <v>1159</v>
      </c>
      <c r="B22" s="415" t="s">
        <v>47</v>
      </c>
      <c r="C22" s="30" t="s">
        <v>560</v>
      </c>
      <c r="D22" s="32">
        <f>'10_К-ция_ЛК'!F14</f>
        <v>16985.978373503778</v>
      </c>
      <c r="E22" s="30"/>
    </row>
    <row r="23" spans="1:5" ht="16">
      <c r="A23" s="83" t="s">
        <v>1160</v>
      </c>
      <c r="B23" s="415" t="s">
        <v>90</v>
      </c>
      <c r="C23" s="30" t="s">
        <v>560</v>
      </c>
      <c r="D23" s="32">
        <f>'10_К-ция_ЛК'!F15</f>
        <v>4500.2249527824442</v>
      </c>
      <c r="E23" s="30"/>
    </row>
    <row r="24" spans="1:5" ht="16">
      <c r="A24" s="83" t="s">
        <v>1161</v>
      </c>
      <c r="B24" s="415" t="s">
        <v>1156</v>
      </c>
      <c r="C24" s="30" t="s">
        <v>560</v>
      </c>
      <c r="D24" s="32">
        <f>'10_К-ция_ЛК'!F18</f>
        <v>1176</v>
      </c>
      <c r="E24" s="30"/>
    </row>
    <row r="25" spans="1:5" ht="16">
      <c r="A25" s="430" t="s">
        <v>190</v>
      </c>
      <c r="B25" s="733" t="s">
        <v>657</v>
      </c>
      <c r="C25" s="431" t="s">
        <v>560</v>
      </c>
      <c r="D25" s="432">
        <f>'10_К-ция_ЛК'!F22</f>
        <v>83417.074824472671</v>
      </c>
      <c r="E25" s="30"/>
    </row>
    <row r="26" spans="1:5" ht="32">
      <c r="A26" s="418" t="s">
        <v>191</v>
      </c>
      <c r="B26" s="419" t="s">
        <v>1204</v>
      </c>
      <c r="C26" s="420" t="s">
        <v>560</v>
      </c>
      <c r="D26" s="397">
        <f>'10_К-ция_ЛК'!F25</f>
        <v>72664.965794027215</v>
      </c>
      <c r="E26" s="30"/>
    </row>
    <row r="27" spans="1:5" ht="16">
      <c r="A27" s="421" t="s">
        <v>192</v>
      </c>
      <c r="B27" s="422" t="s">
        <v>650</v>
      </c>
      <c r="C27" s="423" t="s">
        <v>560</v>
      </c>
      <c r="D27" s="424">
        <f>'10_К-ция_ЛК'!F27</f>
        <v>94636.553805771386</v>
      </c>
      <c r="E27" s="30"/>
    </row>
    <row r="28" spans="1:5" ht="16">
      <c r="A28" s="83" t="s">
        <v>198</v>
      </c>
      <c r="B28" s="415" t="s">
        <v>651</v>
      </c>
      <c r="C28" s="30" t="s">
        <v>560</v>
      </c>
      <c r="D28" s="32">
        <f>'10_К-ция_ЛК'!F29</f>
        <v>106545.93261098498</v>
      </c>
      <c r="E28" s="30"/>
    </row>
    <row r="29" spans="1:5" ht="16">
      <c r="A29" s="83" t="s">
        <v>1162</v>
      </c>
      <c r="B29" s="426" t="s">
        <v>30</v>
      </c>
      <c r="C29" s="30" t="s">
        <v>28</v>
      </c>
      <c r="D29" s="427">
        <f>'19_Эффект'!B5</f>
        <v>0.11654092669486998</v>
      </c>
      <c r="E29" s="30"/>
    </row>
    <row r="30" spans="1:5" ht="16">
      <c r="A30" s="83" t="s">
        <v>1163</v>
      </c>
      <c r="B30" s="31" t="s">
        <v>653</v>
      </c>
      <c r="C30" s="30" t="s">
        <v>28</v>
      </c>
      <c r="D30" s="425">
        <f>'19_Эффект'!B9</f>
        <v>8.5999999999999993E-2</v>
      </c>
      <c r="E30" s="30"/>
    </row>
    <row r="31" spans="1:5" ht="16">
      <c r="A31" s="83" t="s">
        <v>1164</v>
      </c>
      <c r="B31" s="426" t="s">
        <v>29</v>
      </c>
      <c r="C31" s="30" t="s">
        <v>150</v>
      </c>
      <c r="D31" s="428">
        <f>'19_Эффект'!B4/1000</f>
        <v>850.1168221596389</v>
      </c>
      <c r="E31" s="30"/>
    </row>
    <row r="32" spans="1:5" ht="16">
      <c r="A32" s="83" t="s">
        <v>1165</v>
      </c>
      <c r="B32" s="31" t="s">
        <v>655</v>
      </c>
      <c r="C32" s="30" t="s">
        <v>654</v>
      </c>
      <c r="D32" s="30" t="str">
        <f>'19_Эффект'!B7</f>
        <v>6.5</v>
      </c>
      <c r="E32" s="30"/>
    </row>
    <row r="33" spans="1:5" ht="16">
      <c r="A33" s="83" t="s">
        <v>1166</v>
      </c>
      <c r="B33" s="31" t="s">
        <v>652</v>
      </c>
      <c r="C33" s="30" t="s">
        <v>654</v>
      </c>
      <c r="D33" s="30" t="str">
        <f>'19_Эффект'!B8</f>
        <v>8.7</v>
      </c>
      <c r="E33" s="30"/>
    </row>
    <row r="34" spans="1:5" ht="16">
      <c r="B34" s="363" t="s">
        <v>648</v>
      </c>
      <c r="C34" s="364" t="str">
        <f>'0_Допущения'!B12</f>
        <v>руб.</v>
      </c>
      <c r="D34" s="364">
        <f>'0_Допущения'!C12</f>
        <v>102.0271</v>
      </c>
    </row>
    <row r="35" spans="1:5" ht="16">
      <c r="B35" s="363" t="s">
        <v>647</v>
      </c>
      <c r="C35" s="364" t="str">
        <f>'0_Допущения'!B13</f>
        <v>руб.</v>
      </c>
      <c r="D35" s="364">
        <f>'0_Допущения'!C13</f>
        <v>90.690600000000003</v>
      </c>
    </row>
    <row r="36" spans="1:5" ht="16">
      <c r="B36" s="363" t="s">
        <v>1205</v>
      </c>
      <c r="C36" s="364" t="str">
        <f>'0_Допущения'!B14</f>
        <v>руб.</v>
      </c>
      <c r="D36" s="364">
        <f>'0_Допущения'!C14</f>
        <v>12.6351</v>
      </c>
    </row>
  </sheetData>
  <mergeCells count="7">
    <mergeCell ref="E3:E4"/>
    <mergeCell ref="A1:D1"/>
    <mergeCell ref="A3:A4"/>
    <mergeCell ref="B3:B4"/>
    <mergeCell ref="C3:C4"/>
    <mergeCell ref="D3:D4"/>
    <mergeCell ref="A2:C2"/>
  </mergeCells>
  <pageMargins left="0.7" right="0.7" top="0.75" bottom="0.75" header="0.3" footer="0.3"/>
  <pageSetup paperSize="9" orientation="landscape" horizontalDpi="0" verticalDpi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3"/>
  <sheetViews>
    <sheetView zoomScale="120" zoomScaleNormal="120" workbookViewId="0">
      <selection sqref="A1:C33"/>
    </sheetView>
  </sheetViews>
  <sheetFormatPr baseColWidth="10" defaultColWidth="8.83203125" defaultRowHeight="16"/>
  <cols>
    <col min="1" max="1" width="26.6640625" style="37" customWidth="1"/>
    <col min="2" max="2" width="12.83203125" style="37" customWidth="1"/>
    <col min="3" max="3" width="17.6640625" style="37" customWidth="1"/>
    <col min="4" max="4" width="39.83203125" style="37" bestFit="1" customWidth="1"/>
    <col min="5" max="254" width="9.1640625" style="37"/>
    <col min="255" max="255" width="26.6640625" style="37" customWidth="1"/>
    <col min="256" max="256" width="17.5" style="37" bestFit="1" customWidth="1"/>
    <col min="257" max="257" width="13.1640625" style="37" bestFit="1" customWidth="1"/>
    <col min="258" max="510" width="9.1640625" style="37"/>
    <col min="511" max="511" width="26.6640625" style="37" customWidth="1"/>
    <col min="512" max="512" width="17.5" style="37" bestFit="1" customWidth="1"/>
    <col min="513" max="513" width="13.1640625" style="37" bestFit="1" customWidth="1"/>
    <col min="514" max="766" width="9.1640625" style="37"/>
    <col min="767" max="767" width="26.6640625" style="37" customWidth="1"/>
    <col min="768" max="768" width="17.5" style="37" bestFit="1" customWidth="1"/>
    <col min="769" max="769" width="13.1640625" style="37" bestFit="1" customWidth="1"/>
    <col min="770" max="1022" width="9.1640625" style="37"/>
    <col min="1023" max="1023" width="26.6640625" style="37" customWidth="1"/>
    <col min="1024" max="1024" width="17.5" style="37" bestFit="1" customWidth="1"/>
    <col min="1025" max="1025" width="13.1640625" style="37" bestFit="1" customWidth="1"/>
    <col min="1026" max="1278" width="9.1640625" style="37"/>
    <col min="1279" max="1279" width="26.6640625" style="37" customWidth="1"/>
    <col min="1280" max="1280" width="17.5" style="37" bestFit="1" customWidth="1"/>
    <col min="1281" max="1281" width="13.1640625" style="37" bestFit="1" customWidth="1"/>
    <col min="1282" max="1534" width="9.1640625" style="37"/>
    <col min="1535" max="1535" width="26.6640625" style="37" customWidth="1"/>
    <col min="1536" max="1536" width="17.5" style="37" bestFit="1" customWidth="1"/>
    <col min="1537" max="1537" width="13.1640625" style="37" bestFit="1" customWidth="1"/>
    <col min="1538" max="1790" width="9.1640625" style="37"/>
    <col min="1791" max="1791" width="26.6640625" style="37" customWidth="1"/>
    <col min="1792" max="1792" width="17.5" style="37" bestFit="1" customWidth="1"/>
    <col min="1793" max="1793" width="13.1640625" style="37" bestFit="1" customWidth="1"/>
    <col min="1794" max="2046" width="9.1640625" style="37"/>
    <col min="2047" max="2047" width="26.6640625" style="37" customWidth="1"/>
    <col min="2048" max="2048" width="17.5" style="37" bestFit="1" customWidth="1"/>
    <col min="2049" max="2049" width="13.1640625" style="37" bestFit="1" customWidth="1"/>
    <col min="2050" max="2302" width="9.1640625" style="37"/>
    <col min="2303" max="2303" width="26.6640625" style="37" customWidth="1"/>
    <col min="2304" max="2304" width="17.5" style="37" bestFit="1" customWidth="1"/>
    <col min="2305" max="2305" width="13.1640625" style="37" bestFit="1" customWidth="1"/>
    <col min="2306" max="2558" width="9.1640625" style="37"/>
    <col min="2559" max="2559" width="26.6640625" style="37" customWidth="1"/>
    <col min="2560" max="2560" width="17.5" style="37" bestFit="1" customWidth="1"/>
    <col min="2561" max="2561" width="13.1640625" style="37" bestFit="1" customWidth="1"/>
    <col min="2562" max="2814" width="9.1640625" style="37"/>
    <col min="2815" max="2815" width="26.6640625" style="37" customWidth="1"/>
    <col min="2816" max="2816" width="17.5" style="37" bestFit="1" customWidth="1"/>
    <col min="2817" max="2817" width="13.1640625" style="37" bestFit="1" customWidth="1"/>
    <col min="2818" max="3070" width="9.1640625" style="37"/>
    <col min="3071" max="3071" width="26.6640625" style="37" customWidth="1"/>
    <col min="3072" max="3072" width="17.5" style="37" bestFit="1" customWidth="1"/>
    <col min="3073" max="3073" width="13.1640625" style="37" bestFit="1" customWidth="1"/>
    <col min="3074" max="3326" width="9.1640625" style="37"/>
    <col min="3327" max="3327" width="26.6640625" style="37" customWidth="1"/>
    <col min="3328" max="3328" width="17.5" style="37" bestFit="1" customWidth="1"/>
    <col min="3329" max="3329" width="13.1640625" style="37" bestFit="1" customWidth="1"/>
    <col min="3330" max="3582" width="9.1640625" style="37"/>
    <col min="3583" max="3583" width="26.6640625" style="37" customWidth="1"/>
    <col min="3584" max="3584" width="17.5" style="37" bestFit="1" customWidth="1"/>
    <col min="3585" max="3585" width="13.1640625" style="37" bestFit="1" customWidth="1"/>
    <col min="3586" max="3838" width="9.1640625" style="37"/>
    <col min="3839" max="3839" width="26.6640625" style="37" customWidth="1"/>
    <col min="3840" max="3840" width="17.5" style="37" bestFit="1" customWidth="1"/>
    <col min="3841" max="3841" width="13.1640625" style="37" bestFit="1" customWidth="1"/>
    <col min="3842" max="4094" width="9.1640625" style="37"/>
    <col min="4095" max="4095" width="26.6640625" style="37" customWidth="1"/>
    <col min="4096" max="4096" width="17.5" style="37" bestFit="1" customWidth="1"/>
    <col min="4097" max="4097" width="13.1640625" style="37" bestFit="1" customWidth="1"/>
    <col min="4098" max="4350" width="9.1640625" style="37"/>
    <col min="4351" max="4351" width="26.6640625" style="37" customWidth="1"/>
    <col min="4352" max="4352" width="17.5" style="37" bestFit="1" customWidth="1"/>
    <col min="4353" max="4353" width="13.1640625" style="37" bestFit="1" customWidth="1"/>
    <col min="4354" max="4606" width="9.1640625" style="37"/>
    <col min="4607" max="4607" width="26.6640625" style="37" customWidth="1"/>
    <col min="4608" max="4608" width="17.5" style="37" bestFit="1" customWidth="1"/>
    <col min="4609" max="4609" width="13.1640625" style="37" bestFit="1" customWidth="1"/>
    <col min="4610" max="4862" width="9.1640625" style="37"/>
    <col min="4863" max="4863" width="26.6640625" style="37" customWidth="1"/>
    <col min="4864" max="4864" width="17.5" style="37" bestFit="1" customWidth="1"/>
    <col min="4865" max="4865" width="13.1640625" style="37" bestFit="1" customWidth="1"/>
    <col min="4866" max="5118" width="9.1640625" style="37"/>
    <col min="5119" max="5119" width="26.6640625" style="37" customWidth="1"/>
    <col min="5120" max="5120" width="17.5" style="37" bestFit="1" customWidth="1"/>
    <col min="5121" max="5121" width="13.1640625" style="37" bestFit="1" customWidth="1"/>
    <col min="5122" max="5374" width="9.1640625" style="37"/>
    <col min="5375" max="5375" width="26.6640625" style="37" customWidth="1"/>
    <col min="5376" max="5376" width="17.5" style="37" bestFit="1" customWidth="1"/>
    <col min="5377" max="5377" width="13.1640625" style="37" bestFit="1" customWidth="1"/>
    <col min="5378" max="5630" width="9.1640625" style="37"/>
    <col min="5631" max="5631" width="26.6640625" style="37" customWidth="1"/>
    <col min="5632" max="5632" width="17.5" style="37" bestFit="1" customWidth="1"/>
    <col min="5633" max="5633" width="13.1640625" style="37" bestFit="1" customWidth="1"/>
    <col min="5634" max="5886" width="9.1640625" style="37"/>
    <col min="5887" max="5887" width="26.6640625" style="37" customWidth="1"/>
    <col min="5888" max="5888" width="17.5" style="37" bestFit="1" customWidth="1"/>
    <col min="5889" max="5889" width="13.1640625" style="37" bestFit="1" customWidth="1"/>
    <col min="5890" max="6142" width="9.1640625" style="37"/>
    <col min="6143" max="6143" width="26.6640625" style="37" customWidth="1"/>
    <col min="6144" max="6144" width="17.5" style="37" bestFit="1" customWidth="1"/>
    <col min="6145" max="6145" width="13.1640625" style="37" bestFit="1" customWidth="1"/>
    <col min="6146" max="6398" width="9.1640625" style="37"/>
    <col min="6399" max="6399" width="26.6640625" style="37" customWidth="1"/>
    <col min="6400" max="6400" width="17.5" style="37" bestFit="1" customWidth="1"/>
    <col min="6401" max="6401" width="13.1640625" style="37" bestFit="1" customWidth="1"/>
    <col min="6402" max="6654" width="9.1640625" style="37"/>
    <col min="6655" max="6655" width="26.6640625" style="37" customWidth="1"/>
    <col min="6656" max="6656" width="17.5" style="37" bestFit="1" customWidth="1"/>
    <col min="6657" max="6657" width="13.1640625" style="37" bestFit="1" customWidth="1"/>
    <col min="6658" max="6910" width="9.1640625" style="37"/>
    <col min="6911" max="6911" width="26.6640625" style="37" customWidth="1"/>
    <col min="6912" max="6912" width="17.5" style="37" bestFit="1" customWidth="1"/>
    <col min="6913" max="6913" width="13.1640625" style="37" bestFit="1" customWidth="1"/>
    <col min="6914" max="7166" width="9.1640625" style="37"/>
    <col min="7167" max="7167" width="26.6640625" style="37" customWidth="1"/>
    <col min="7168" max="7168" width="17.5" style="37" bestFit="1" customWidth="1"/>
    <col min="7169" max="7169" width="13.1640625" style="37" bestFit="1" customWidth="1"/>
    <col min="7170" max="7422" width="9.1640625" style="37"/>
    <col min="7423" max="7423" width="26.6640625" style="37" customWidth="1"/>
    <col min="7424" max="7424" width="17.5" style="37" bestFit="1" customWidth="1"/>
    <col min="7425" max="7425" width="13.1640625" style="37" bestFit="1" customWidth="1"/>
    <col min="7426" max="7678" width="9.1640625" style="37"/>
    <col min="7679" max="7679" width="26.6640625" style="37" customWidth="1"/>
    <col min="7680" max="7680" width="17.5" style="37" bestFit="1" customWidth="1"/>
    <col min="7681" max="7681" width="13.1640625" style="37" bestFit="1" customWidth="1"/>
    <col min="7682" max="7934" width="9.1640625" style="37"/>
    <col min="7935" max="7935" width="26.6640625" style="37" customWidth="1"/>
    <col min="7936" max="7936" width="17.5" style="37" bestFit="1" customWidth="1"/>
    <col min="7937" max="7937" width="13.1640625" style="37" bestFit="1" customWidth="1"/>
    <col min="7938" max="8190" width="9.1640625" style="37"/>
    <col min="8191" max="8191" width="26.6640625" style="37" customWidth="1"/>
    <col min="8192" max="8192" width="17.5" style="37" bestFit="1" customWidth="1"/>
    <col min="8193" max="8193" width="13.1640625" style="37" bestFit="1" customWidth="1"/>
    <col min="8194" max="8446" width="9.1640625" style="37"/>
    <col min="8447" max="8447" width="26.6640625" style="37" customWidth="1"/>
    <col min="8448" max="8448" width="17.5" style="37" bestFit="1" customWidth="1"/>
    <col min="8449" max="8449" width="13.1640625" style="37" bestFit="1" customWidth="1"/>
    <col min="8450" max="8702" width="9.1640625" style="37"/>
    <col min="8703" max="8703" width="26.6640625" style="37" customWidth="1"/>
    <col min="8704" max="8704" width="17.5" style="37" bestFit="1" customWidth="1"/>
    <col min="8705" max="8705" width="13.1640625" style="37" bestFit="1" customWidth="1"/>
    <col min="8706" max="8958" width="9.1640625" style="37"/>
    <col min="8959" max="8959" width="26.6640625" style="37" customWidth="1"/>
    <col min="8960" max="8960" width="17.5" style="37" bestFit="1" customWidth="1"/>
    <col min="8961" max="8961" width="13.1640625" style="37" bestFit="1" customWidth="1"/>
    <col min="8962" max="9214" width="9.1640625" style="37"/>
    <col min="9215" max="9215" width="26.6640625" style="37" customWidth="1"/>
    <col min="9216" max="9216" width="17.5" style="37" bestFit="1" customWidth="1"/>
    <col min="9217" max="9217" width="13.1640625" style="37" bestFit="1" customWidth="1"/>
    <col min="9218" max="9470" width="9.1640625" style="37"/>
    <col min="9471" max="9471" width="26.6640625" style="37" customWidth="1"/>
    <col min="9472" max="9472" width="17.5" style="37" bestFit="1" customWidth="1"/>
    <col min="9473" max="9473" width="13.1640625" style="37" bestFit="1" customWidth="1"/>
    <col min="9474" max="9726" width="9.1640625" style="37"/>
    <col min="9727" max="9727" width="26.6640625" style="37" customWidth="1"/>
    <col min="9728" max="9728" width="17.5" style="37" bestFit="1" customWidth="1"/>
    <col min="9729" max="9729" width="13.1640625" style="37" bestFit="1" customWidth="1"/>
    <col min="9730" max="9982" width="9.1640625" style="37"/>
    <col min="9983" max="9983" width="26.6640625" style="37" customWidth="1"/>
    <col min="9984" max="9984" width="17.5" style="37" bestFit="1" customWidth="1"/>
    <col min="9985" max="9985" width="13.1640625" style="37" bestFit="1" customWidth="1"/>
    <col min="9986" max="10238" width="9.1640625" style="37"/>
    <col min="10239" max="10239" width="26.6640625" style="37" customWidth="1"/>
    <col min="10240" max="10240" width="17.5" style="37" bestFit="1" customWidth="1"/>
    <col min="10241" max="10241" width="13.1640625" style="37" bestFit="1" customWidth="1"/>
    <col min="10242" max="10494" width="9.1640625" style="37"/>
    <col min="10495" max="10495" width="26.6640625" style="37" customWidth="1"/>
    <col min="10496" max="10496" width="17.5" style="37" bestFit="1" customWidth="1"/>
    <col min="10497" max="10497" width="13.1640625" style="37" bestFit="1" customWidth="1"/>
    <col min="10498" max="10750" width="9.1640625" style="37"/>
    <col min="10751" max="10751" width="26.6640625" style="37" customWidth="1"/>
    <col min="10752" max="10752" width="17.5" style="37" bestFit="1" customWidth="1"/>
    <col min="10753" max="10753" width="13.1640625" style="37" bestFit="1" customWidth="1"/>
    <col min="10754" max="11006" width="9.1640625" style="37"/>
    <col min="11007" max="11007" width="26.6640625" style="37" customWidth="1"/>
    <col min="11008" max="11008" width="17.5" style="37" bestFit="1" customWidth="1"/>
    <col min="11009" max="11009" width="13.1640625" style="37" bestFit="1" customWidth="1"/>
    <col min="11010" max="11262" width="9.1640625" style="37"/>
    <col min="11263" max="11263" width="26.6640625" style="37" customWidth="1"/>
    <col min="11264" max="11264" width="17.5" style="37" bestFit="1" customWidth="1"/>
    <col min="11265" max="11265" width="13.1640625" style="37" bestFit="1" customWidth="1"/>
    <col min="11266" max="11518" width="9.1640625" style="37"/>
    <col min="11519" max="11519" width="26.6640625" style="37" customWidth="1"/>
    <col min="11520" max="11520" width="17.5" style="37" bestFit="1" customWidth="1"/>
    <col min="11521" max="11521" width="13.1640625" style="37" bestFit="1" customWidth="1"/>
    <col min="11522" max="11774" width="9.1640625" style="37"/>
    <col min="11775" max="11775" width="26.6640625" style="37" customWidth="1"/>
    <col min="11776" max="11776" width="17.5" style="37" bestFit="1" customWidth="1"/>
    <col min="11777" max="11777" width="13.1640625" style="37" bestFit="1" customWidth="1"/>
    <col min="11778" max="12030" width="9.1640625" style="37"/>
    <col min="12031" max="12031" width="26.6640625" style="37" customWidth="1"/>
    <col min="12032" max="12032" width="17.5" style="37" bestFit="1" customWidth="1"/>
    <col min="12033" max="12033" width="13.1640625" style="37" bestFit="1" customWidth="1"/>
    <col min="12034" max="12286" width="9.1640625" style="37"/>
    <col min="12287" max="12287" width="26.6640625" style="37" customWidth="1"/>
    <col min="12288" max="12288" width="17.5" style="37" bestFit="1" customWidth="1"/>
    <col min="12289" max="12289" width="13.1640625" style="37" bestFit="1" customWidth="1"/>
    <col min="12290" max="12542" width="9.1640625" style="37"/>
    <col min="12543" max="12543" width="26.6640625" style="37" customWidth="1"/>
    <col min="12544" max="12544" width="17.5" style="37" bestFit="1" customWidth="1"/>
    <col min="12545" max="12545" width="13.1640625" style="37" bestFit="1" customWidth="1"/>
    <col min="12546" max="12798" width="9.1640625" style="37"/>
    <col min="12799" max="12799" width="26.6640625" style="37" customWidth="1"/>
    <col min="12800" max="12800" width="17.5" style="37" bestFit="1" customWidth="1"/>
    <col min="12801" max="12801" width="13.1640625" style="37" bestFit="1" customWidth="1"/>
    <col min="12802" max="13054" width="9.1640625" style="37"/>
    <col min="13055" max="13055" width="26.6640625" style="37" customWidth="1"/>
    <col min="13056" max="13056" width="17.5" style="37" bestFit="1" customWidth="1"/>
    <col min="13057" max="13057" width="13.1640625" style="37" bestFit="1" customWidth="1"/>
    <col min="13058" max="13310" width="9.1640625" style="37"/>
    <col min="13311" max="13311" width="26.6640625" style="37" customWidth="1"/>
    <col min="13312" max="13312" width="17.5" style="37" bestFit="1" customWidth="1"/>
    <col min="13313" max="13313" width="13.1640625" style="37" bestFit="1" customWidth="1"/>
    <col min="13314" max="13566" width="9.1640625" style="37"/>
    <col min="13567" max="13567" width="26.6640625" style="37" customWidth="1"/>
    <col min="13568" max="13568" width="17.5" style="37" bestFit="1" customWidth="1"/>
    <col min="13569" max="13569" width="13.1640625" style="37" bestFit="1" customWidth="1"/>
    <col min="13570" max="13822" width="9.1640625" style="37"/>
    <col min="13823" max="13823" width="26.6640625" style="37" customWidth="1"/>
    <col min="13824" max="13824" width="17.5" style="37" bestFit="1" customWidth="1"/>
    <col min="13825" max="13825" width="13.1640625" style="37" bestFit="1" customWidth="1"/>
    <col min="13826" max="14078" width="9.1640625" style="37"/>
    <col min="14079" max="14079" width="26.6640625" style="37" customWidth="1"/>
    <col min="14080" max="14080" width="17.5" style="37" bestFit="1" customWidth="1"/>
    <col min="14081" max="14081" width="13.1640625" style="37" bestFit="1" customWidth="1"/>
    <col min="14082" max="14334" width="9.1640625" style="37"/>
    <col min="14335" max="14335" width="26.6640625" style="37" customWidth="1"/>
    <col min="14336" max="14336" width="17.5" style="37" bestFit="1" customWidth="1"/>
    <col min="14337" max="14337" width="13.1640625" style="37" bestFit="1" customWidth="1"/>
    <col min="14338" max="14590" width="9.1640625" style="37"/>
    <col min="14591" max="14591" width="26.6640625" style="37" customWidth="1"/>
    <col min="14592" max="14592" width="17.5" style="37" bestFit="1" customWidth="1"/>
    <col min="14593" max="14593" width="13.1640625" style="37" bestFit="1" customWidth="1"/>
    <col min="14594" max="14846" width="9.1640625" style="37"/>
    <col min="14847" max="14847" width="26.6640625" style="37" customWidth="1"/>
    <col min="14848" max="14848" width="17.5" style="37" bestFit="1" customWidth="1"/>
    <col min="14849" max="14849" width="13.1640625" style="37" bestFit="1" customWidth="1"/>
    <col min="14850" max="15102" width="9.1640625" style="37"/>
    <col min="15103" max="15103" width="26.6640625" style="37" customWidth="1"/>
    <col min="15104" max="15104" width="17.5" style="37" bestFit="1" customWidth="1"/>
    <col min="15105" max="15105" width="13.1640625" style="37" bestFit="1" customWidth="1"/>
    <col min="15106" max="15358" width="9.1640625" style="37"/>
    <col min="15359" max="15359" width="26.6640625" style="37" customWidth="1"/>
    <col min="15360" max="15360" width="17.5" style="37" bestFit="1" customWidth="1"/>
    <col min="15361" max="15361" width="13.1640625" style="37" bestFit="1" customWidth="1"/>
    <col min="15362" max="15614" width="9.1640625" style="37"/>
    <col min="15615" max="15615" width="26.6640625" style="37" customWidth="1"/>
    <col min="15616" max="15616" width="17.5" style="37" bestFit="1" customWidth="1"/>
    <col min="15617" max="15617" width="13.1640625" style="37" bestFit="1" customWidth="1"/>
    <col min="15618" max="15870" width="9.1640625" style="37"/>
    <col min="15871" max="15871" width="26.6640625" style="37" customWidth="1"/>
    <col min="15872" max="15872" width="17.5" style="37" bestFit="1" customWidth="1"/>
    <col min="15873" max="15873" width="13.1640625" style="37" bestFit="1" customWidth="1"/>
    <col min="15874" max="16126" width="9.1640625" style="37"/>
    <col min="16127" max="16127" width="26.6640625" style="37" customWidth="1"/>
    <col min="16128" max="16128" width="17.5" style="37" bestFit="1" customWidth="1"/>
    <col min="16129" max="16129" width="13.1640625" style="37" bestFit="1" customWidth="1"/>
    <col min="16130" max="16382" width="9.1640625" style="37"/>
    <col min="16383" max="16384" width="9.1640625" style="37" customWidth="1"/>
  </cols>
  <sheetData>
    <row r="1" spans="1:3" ht="17">
      <c r="A1" s="836" t="s">
        <v>96</v>
      </c>
      <c r="B1" s="836"/>
      <c r="C1" s="443" t="s">
        <v>681</v>
      </c>
    </row>
    <row r="2" spans="1:3">
      <c r="A2" s="837" t="s">
        <v>45</v>
      </c>
      <c r="B2" s="838" t="s">
        <v>46</v>
      </c>
      <c r="C2" s="838"/>
    </row>
    <row r="3" spans="1:3" ht="17">
      <c r="A3" s="837"/>
      <c r="B3" s="369" t="s">
        <v>553</v>
      </c>
      <c r="C3" s="369" t="s">
        <v>284</v>
      </c>
    </row>
    <row r="4" spans="1:3">
      <c r="A4" s="839" t="s">
        <v>570</v>
      </c>
      <c r="B4" s="840"/>
      <c r="C4" s="841"/>
    </row>
    <row r="5" spans="1:3" ht="17">
      <c r="A5" s="70" t="s">
        <v>47</v>
      </c>
      <c r="B5" s="69">
        <v>0</v>
      </c>
      <c r="C5" s="69">
        <f>B5*12</f>
        <v>0</v>
      </c>
    </row>
    <row r="6" spans="1:3" ht="17">
      <c r="A6" s="70" t="s">
        <v>623</v>
      </c>
      <c r="B6" s="69">
        <v>0</v>
      </c>
      <c r="C6" s="69">
        <v>0</v>
      </c>
    </row>
    <row r="7" spans="1:3" ht="17">
      <c r="A7" s="70" t="s">
        <v>48</v>
      </c>
      <c r="B7" s="69">
        <f>C7/12</f>
        <v>2968.7606619342132</v>
      </c>
      <c r="C7" s="69">
        <f>'5_Оборуд'!L18*1%</f>
        <v>35625.127943210558</v>
      </c>
    </row>
    <row r="8" spans="1:3" ht="17">
      <c r="A8" s="70" t="s">
        <v>554</v>
      </c>
      <c r="B8" s="69">
        <f>C8/12</f>
        <v>936.96570404828663</v>
      </c>
      <c r="C8" s="69">
        <f>'21_РЗ'!H3</f>
        <v>11243.58844857944</v>
      </c>
    </row>
    <row r="9" spans="1:3" ht="17">
      <c r="A9" s="70" t="s">
        <v>105</v>
      </c>
      <c r="B9" s="69">
        <f>'12_ФОТ'!H68*100*30/1000</f>
        <v>768</v>
      </c>
      <c r="C9" s="69">
        <f>B9*12</f>
        <v>9216</v>
      </c>
    </row>
    <row r="10" spans="1:3" ht="17">
      <c r="A10" s="70" t="s">
        <v>49</v>
      </c>
      <c r="B10" s="69">
        <v>100</v>
      </c>
      <c r="C10" s="69">
        <f>B10*12</f>
        <v>1200</v>
      </c>
    </row>
    <row r="11" spans="1:3" ht="17">
      <c r="A11" s="70" t="s">
        <v>555</v>
      </c>
      <c r="B11" s="69">
        <f>5%*SUM(B5:B10)</f>
        <v>238.68631829912502</v>
      </c>
      <c r="C11" s="69">
        <f>B11*12</f>
        <v>2864.2358195895004</v>
      </c>
    </row>
    <row r="12" spans="1:3" ht="17">
      <c r="A12" s="38" t="s">
        <v>36</v>
      </c>
      <c r="B12" s="39">
        <f>SUM(B5:B11)</f>
        <v>5012.4126842816249</v>
      </c>
      <c r="C12" s="39">
        <f>SUM(C5:C11)</f>
        <v>60148.952211379496</v>
      </c>
    </row>
    <row r="13" spans="1:3">
      <c r="A13" s="835" t="s">
        <v>51</v>
      </c>
      <c r="B13" s="835"/>
      <c r="C13" s="835"/>
    </row>
    <row r="14" spans="1:3" ht="17">
      <c r="A14" s="70" t="s">
        <v>52</v>
      </c>
      <c r="B14" s="69">
        <v>0</v>
      </c>
      <c r="C14" s="69">
        <f>B14/6</f>
        <v>0</v>
      </c>
    </row>
    <row r="15" spans="1:3" ht="17">
      <c r="A15" s="70" t="s">
        <v>53</v>
      </c>
      <c r="B15" s="69">
        <v>0</v>
      </c>
      <c r="C15" s="69">
        <f>B15/6</f>
        <v>0</v>
      </c>
    </row>
    <row r="16" spans="1:3" ht="17">
      <c r="A16" s="70" t="s">
        <v>54</v>
      </c>
      <c r="B16" s="69">
        <v>10</v>
      </c>
      <c r="C16" s="69">
        <f>B16*12</f>
        <v>120</v>
      </c>
    </row>
    <row r="17" spans="1:4" ht="17">
      <c r="A17" s="70" t="s">
        <v>556</v>
      </c>
      <c r="B17" s="69">
        <v>10</v>
      </c>
      <c r="C17" s="69">
        <f>B17*12</f>
        <v>120</v>
      </c>
    </row>
    <row r="18" spans="1:4" ht="17">
      <c r="A18" s="70" t="s">
        <v>104</v>
      </c>
      <c r="B18" s="69">
        <v>0</v>
      </c>
      <c r="C18" s="69">
        <v>0</v>
      </c>
    </row>
    <row r="19" spans="1:4" ht="17">
      <c r="A19" s="70" t="s">
        <v>50</v>
      </c>
      <c r="B19" s="69">
        <v>0</v>
      </c>
      <c r="C19" s="69">
        <f>B19/6</f>
        <v>0</v>
      </c>
    </row>
    <row r="20" spans="1:4" ht="17">
      <c r="A20" s="38" t="s">
        <v>3</v>
      </c>
      <c r="B20" s="39">
        <f>SUM(B14:B19)</f>
        <v>20</v>
      </c>
      <c r="C20" s="39">
        <f>SUM(C14:C19)</f>
        <v>240</v>
      </c>
    </row>
    <row r="21" spans="1:4">
      <c r="A21" s="835" t="s">
        <v>114</v>
      </c>
      <c r="B21" s="835"/>
      <c r="C21" s="835"/>
    </row>
    <row r="22" spans="1:4" ht="34">
      <c r="A22" s="70" t="s">
        <v>566</v>
      </c>
      <c r="B22" s="368">
        <f>1000*'12_ФОТ'!U16/1000</f>
        <v>17</v>
      </c>
      <c r="C22" s="69">
        <f>B22*12</f>
        <v>204</v>
      </c>
      <c r="D22" s="37" t="s">
        <v>567</v>
      </c>
    </row>
    <row r="23" spans="1:4" ht="34">
      <c r="A23" s="70" t="s">
        <v>103</v>
      </c>
      <c r="B23" s="69">
        <v>0</v>
      </c>
      <c r="C23" s="69">
        <f>B23/6</f>
        <v>0</v>
      </c>
    </row>
    <row r="24" spans="1:4" ht="17">
      <c r="A24" s="70" t="s">
        <v>55</v>
      </c>
      <c r="B24" s="69">
        <v>100</v>
      </c>
      <c r="C24" s="69">
        <f>B24*12</f>
        <v>1200</v>
      </c>
    </row>
    <row r="25" spans="1:4" ht="17">
      <c r="A25" s="70" t="s">
        <v>49</v>
      </c>
      <c r="B25" s="69">
        <v>0</v>
      </c>
      <c r="C25" s="69">
        <v>0</v>
      </c>
    </row>
    <row r="26" spans="1:4" ht="17">
      <c r="A26" s="70" t="s">
        <v>56</v>
      </c>
      <c r="B26" s="69">
        <v>50</v>
      </c>
      <c r="C26" s="69">
        <f>B26*12</f>
        <v>600</v>
      </c>
    </row>
    <row r="27" spans="1:4" ht="17">
      <c r="A27" s="70" t="s">
        <v>20</v>
      </c>
      <c r="B27" s="69">
        <f>C27/12</f>
        <v>1481.1004916132815</v>
      </c>
      <c r="C27" s="69">
        <f>'0_Допущения'!C3*('2_Бюджет'!B4+'2_Бюджет'!B5)*1000</f>
        <v>17773.205899359378</v>
      </c>
    </row>
    <row r="28" spans="1:4" ht="17">
      <c r="A28" s="70" t="s">
        <v>8</v>
      </c>
      <c r="B28" s="69">
        <f>C28/12</f>
        <v>50.835000000000001</v>
      </c>
      <c r="C28" s="69">
        <f>'20-2_ЗиВН'!F3</f>
        <v>610.02</v>
      </c>
    </row>
    <row r="29" spans="1:4" ht="17">
      <c r="A29" s="70" t="s">
        <v>568</v>
      </c>
      <c r="B29" s="69">
        <v>100</v>
      </c>
      <c r="C29" s="69">
        <f>B29*12</f>
        <v>1200</v>
      </c>
    </row>
    <row r="30" spans="1:4" ht="17">
      <c r="A30" s="70" t="s">
        <v>569</v>
      </c>
      <c r="B30" s="69">
        <f>10%*SUM(B22:B29)</f>
        <v>179.89354916132817</v>
      </c>
      <c r="C30" s="69">
        <f>B30*12</f>
        <v>2158.7225899359382</v>
      </c>
    </row>
    <row r="31" spans="1:4" ht="17">
      <c r="A31" s="38" t="s">
        <v>36</v>
      </c>
      <c r="B31" s="39">
        <f>SUM(B22:B30)</f>
        <v>1978.8290407746097</v>
      </c>
      <c r="C31" s="39">
        <f>SUM(C22:C30)</f>
        <v>23745.948489295319</v>
      </c>
    </row>
    <row r="33" spans="1:3" ht="17">
      <c r="A33" s="370" t="s">
        <v>571</v>
      </c>
      <c r="B33" s="371">
        <f>B12++B20+B31</f>
        <v>7011.2417250562348</v>
      </c>
      <c r="C33" s="371">
        <f>C12++C20+C31</f>
        <v>84134.900700674814</v>
      </c>
    </row>
  </sheetData>
  <mergeCells count="6">
    <mergeCell ref="A21:C21"/>
    <mergeCell ref="A1:B1"/>
    <mergeCell ref="A2:A3"/>
    <mergeCell ref="B2:C2"/>
    <mergeCell ref="A4:C4"/>
    <mergeCell ref="A13:C13"/>
  </mergeCells>
  <pageMargins left="0.7" right="0.7" top="0.75" bottom="0.75" header="0.3" footer="0.3"/>
  <pageSetup paperSize="9" orientation="landscape" horizontalDpi="0" verticalDpi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1"/>
  <sheetViews>
    <sheetView zoomScale="140" zoomScaleNormal="140" workbookViewId="0">
      <selection activeCell="L20" sqref="L20"/>
    </sheetView>
  </sheetViews>
  <sheetFormatPr baseColWidth="10" defaultColWidth="9.1640625" defaultRowHeight="15"/>
  <cols>
    <col min="1" max="1" width="16.33203125" style="6" bestFit="1" customWidth="1"/>
    <col min="2" max="2" width="9.83203125" style="3" bestFit="1" customWidth="1"/>
    <col min="3" max="11" width="8.33203125" style="3" bestFit="1" customWidth="1"/>
    <col min="12" max="16384" width="9.1640625" style="3"/>
  </cols>
  <sheetData>
    <row r="1" spans="1:11" ht="23" customHeight="1">
      <c r="A1" s="796" t="s">
        <v>621</v>
      </c>
      <c r="B1" s="796"/>
      <c r="C1" s="796"/>
      <c r="D1" s="796"/>
      <c r="E1" s="796"/>
      <c r="F1" s="796"/>
      <c r="G1" s="796"/>
      <c r="H1" s="796"/>
      <c r="I1" s="796"/>
      <c r="J1" s="65" t="s">
        <v>147</v>
      </c>
      <c r="K1" s="6">
        <v>14</v>
      </c>
    </row>
    <row r="2" spans="1:11" ht="16">
      <c r="A2" s="58" t="s">
        <v>40</v>
      </c>
      <c r="B2" s="403">
        <f>'9_Пр-во'!D2</f>
        <v>2024</v>
      </c>
      <c r="C2" s="403">
        <f>'9_Пр-во'!E2</f>
        <v>2025</v>
      </c>
      <c r="D2" s="403">
        <f>'9_Пр-во'!F2</f>
        <v>2026</v>
      </c>
      <c r="E2" s="403">
        <f>'9_Пр-во'!G2</f>
        <v>2027</v>
      </c>
      <c r="F2" s="403">
        <f>'9_Пр-во'!H2</f>
        <v>2028</v>
      </c>
      <c r="G2" s="403">
        <f>'9_Пр-во'!I2</f>
        <v>2029</v>
      </c>
      <c r="H2" s="403">
        <f>'9_Пр-во'!J2</f>
        <v>2030</v>
      </c>
      <c r="I2" s="403">
        <f>'9_Пр-во'!K2</f>
        <v>2031</v>
      </c>
      <c r="J2" s="403">
        <f>'9_Пр-во'!L2</f>
        <v>2032</v>
      </c>
      <c r="K2" s="403">
        <f>'9_Пр-во'!M2</f>
        <v>2033</v>
      </c>
    </row>
    <row r="3" spans="1:11" ht="32">
      <c r="A3" s="31" t="s">
        <v>106</v>
      </c>
      <c r="B3" s="32">
        <v>0</v>
      </c>
      <c r="C3" s="32">
        <v>0</v>
      </c>
      <c r="D3" s="32">
        <v>0</v>
      </c>
      <c r="E3" s="32">
        <f>'13_Пост. Расх.'!C12</f>
        <v>60148.952211379496</v>
      </c>
      <c r="F3" s="32">
        <f t="shared" ref="F3:K3" si="0">E3</f>
        <v>60148.952211379496</v>
      </c>
      <c r="G3" s="32">
        <f t="shared" si="0"/>
        <v>60148.952211379496</v>
      </c>
      <c r="H3" s="32">
        <f t="shared" si="0"/>
        <v>60148.952211379496</v>
      </c>
      <c r="I3" s="32">
        <f t="shared" si="0"/>
        <v>60148.952211379496</v>
      </c>
      <c r="J3" s="32">
        <f t="shared" si="0"/>
        <v>60148.952211379496</v>
      </c>
      <c r="K3" s="32">
        <f t="shared" si="0"/>
        <v>60148.952211379496</v>
      </c>
    </row>
    <row r="4" spans="1:11" ht="16">
      <c r="A4" s="31" t="s">
        <v>51</v>
      </c>
      <c r="B4" s="32">
        <v>0</v>
      </c>
      <c r="C4" s="32">
        <v>0</v>
      </c>
      <c r="D4" s="32">
        <v>0</v>
      </c>
      <c r="E4" s="32">
        <f>'13_Пост. Расх.'!C20</f>
        <v>240</v>
      </c>
      <c r="F4" s="32">
        <f t="shared" ref="F4:K4" si="1">E4</f>
        <v>240</v>
      </c>
      <c r="G4" s="32">
        <f t="shared" si="1"/>
        <v>240</v>
      </c>
      <c r="H4" s="32">
        <f t="shared" si="1"/>
        <v>240</v>
      </c>
      <c r="I4" s="32">
        <f t="shared" si="1"/>
        <v>240</v>
      </c>
      <c r="J4" s="32">
        <f t="shared" si="1"/>
        <v>240</v>
      </c>
      <c r="K4" s="32">
        <f t="shared" si="1"/>
        <v>240</v>
      </c>
    </row>
    <row r="5" spans="1:11" ht="16">
      <c r="A5" s="31" t="s">
        <v>114</v>
      </c>
      <c r="B5" s="32">
        <v>0</v>
      </c>
      <c r="C5" s="32">
        <v>0</v>
      </c>
      <c r="D5" s="32">
        <v>0</v>
      </c>
      <c r="E5" s="32">
        <f>'13_Пост. Расх.'!C31</f>
        <v>23745.948489295319</v>
      </c>
      <c r="F5" s="32">
        <f t="shared" ref="F5:K5" si="2">E5</f>
        <v>23745.948489295319</v>
      </c>
      <c r="G5" s="32">
        <f t="shared" si="2"/>
        <v>23745.948489295319</v>
      </c>
      <c r="H5" s="32">
        <f t="shared" si="2"/>
        <v>23745.948489295319</v>
      </c>
      <c r="I5" s="32">
        <f t="shared" si="2"/>
        <v>23745.948489295319</v>
      </c>
      <c r="J5" s="32">
        <f t="shared" si="2"/>
        <v>23745.948489295319</v>
      </c>
      <c r="K5" s="32">
        <f t="shared" si="2"/>
        <v>23745.948489295319</v>
      </c>
    </row>
    <row r="6" spans="1:11" ht="32">
      <c r="A6" s="31" t="s">
        <v>620</v>
      </c>
      <c r="B6" s="32">
        <v>0</v>
      </c>
      <c r="C6" s="32">
        <v>0</v>
      </c>
      <c r="D6" s="32">
        <v>0</v>
      </c>
      <c r="E6" s="32">
        <f>'22_Ам-ция'!F15</f>
        <v>0</v>
      </c>
      <c r="F6" s="32">
        <f>'22_Ам-ция'!G15</f>
        <v>0</v>
      </c>
      <c r="G6" s="32">
        <f>'22_Ам-ция'!H15</f>
        <v>0</v>
      </c>
      <c r="H6" s="32">
        <f>'22_Ам-ция'!I15</f>
        <v>0</v>
      </c>
      <c r="I6" s="32">
        <f>'22_Ам-ция'!J15</f>
        <v>0</v>
      </c>
      <c r="J6" s="32">
        <f>'22_Ам-ция'!K15</f>
        <v>0</v>
      </c>
      <c r="K6" s="32">
        <f>'22_Ам-ция'!L15</f>
        <v>0</v>
      </c>
    </row>
    <row r="7" spans="1:11" ht="25.5" customHeight="1">
      <c r="A7" s="103" t="s">
        <v>3</v>
      </c>
      <c r="B7" s="68">
        <f t="shared" ref="B7:K7" si="3">SUM(B3:B6)</f>
        <v>0</v>
      </c>
      <c r="C7" s="68">
        <f t="shared" si="3"/>
        <v>0</v>
      </c>
      <c r="D7" s="68">
        <f>E7/2</f>
        <v>42067.450350337407</v>
      </c>
      <c r="E7" s="68">
        <f t="shared" si="3"/>
        <v>84134.900700674814</v>
      </c>
      <c r="F7" s="68">
        <f t="shared" si="3"/>
        <v>84134.900700674814</v>
      </c>
      <c r="G7" s="68">
        <f t="shared" si="3"/>
        <v>84134.900700674814</v>
      </c>
      <c r="H7" s="68">
        <f t="shared" si="3"/>
        <v>84134.900700674814</v>
      </c>
      <c r="I7" s="68">
        <f t="shared" si="3"/>
        <v>84134.900700674814</v>
      </c>
      <c r="J7" s="68">
        <f t="shared" si="3"/>
        <v>84134.900700674814</v>
      </c>
      <c r="K7" s="68">
        <f t="shared" si="3"/>
        <v>84134.900700674814</v>
      </c>
    </row>
    <row r="8" spans="1:11" ht="16">
      <c r="A8" s="6" t="s">
        <v>70</v>
      </c>
      <c r="B8" s="71">
        <f>'0_Допущения'!C5/12</f>
        <v>0</v>
      </c>
    </row>
    <row r="10" spans="1:11">
      <c r="B10" s="46"/>
      <c r="C10" s="46"/>
      <c r="D10" s="46"/>
    </row>
    <row r="11" spans="1:11">
      <c r="B11" s="46"/>
      <c r="C11" s="46"/>
      <c r="D11" s="46"/>
    </row>
  </sheetData>
  <mergeCells count="1">
    <mergeCell ref="A1:I1"/>
  </mergeCells>
  <pageMargins left="0.7" right="0.7" top="0.75" bottom="0.75" header="0.3" footer="0.3"/>
  <pageSetup paperSize="9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681E6-079F-C943-B4C9-F73A2888C373}">
  <dimension ref="A1:K9"/>
  <sheetViews>
    <sheetView zoomScale="150" zoomScaleNormal="150" workbookViewId="0">
      <selection activeCell="F11" sqref="F11"/>
    </sheetView>
  </sheetViews>
  <sheetFormatPr baseColWidth="10" defaultColWidth="9.1640625" defaultRowHeight="15"/>
  <cols>
    <col min="1" max="1" width="16.83203125" style="6" customWidth="1"/>
    <col min="2" max="2" width="6" style="3" bestFit="1" customWidth="1"/>
    <col min="3" max="3" width="5.1640625" style="3" bestFit="1" customWidth="1"/>
    <col min="4" max="4" width="9.6640625" style="3" customWidth="1"/>
    <col min="5" max="5" width="9.83203125" style="3" customWidth="1"/>
    <col min="6" max="11" width="9" style="3" bestFit="1" customWidth="1"/>
    <col min="12" max="16384" width="9.1640625" style="3"/>
  </cols>
  <sheetData>
    <row r="1" spans="1:11" ht="22" customHeight="1">
      <c r="A1" s="842" t="s">
        <v>583</v>
      </c>
      <c r="B1" s="842"/>
      <c r="C1" s="842"/>
      <c r="D1" s="842"/>
      <c r="E1" s="842"/>
      <c r="F1" s="842"/>
      <c r="G1" s="842"/>
      <c r="H1" s="842"/>
      <c r="I1" s="842"/>
      <c r="J1" s="65" t="s">
        <v>147</v>
      </c>
      <c r="K1" s="6">
        <v>15</v>
      </c>
    </row>
    <row r="2" spans="1:11" ht="16">
      <c r="A2" s="48" t="s">
        <v>40</v>
      </c>
      <c r="B2" s="365">
        <f>'9_Пр-во'!D2</f>
        <v>2024</v>
      </c>
      <c r="C2" s="365">
        <f>'9_Пр-во'!E2</f>
        <v>2025</v>
      </c>
      <c r="D2" s="365">
        <f>'9_Пр-во'!F2</f>
        <v>2026</v>
      </c>
      <c r="E2" s="365">
        <f>'9_Пр-во'!G2</f>
        <v>2027</v>
      </c>
      <c r="F2" s="365">
        <f>'9_Пр-во'!H2</f>
        <v>2028</v>
      </c>
      <c r="G2" s="365">
        <f>'9_Пр-во'!I2</f>
        <v>2029</v>
      </c>
      <c r="H2" s="365">
        <f>'9_Пр-во'!J2</f>
        <v>2030</v>
      </c>
      <c r="I2" s="365">
        <f>'9_Пр-во'!K2</f>
        <v>2031</v>
      </c>
      <c r="J2" s="365">
        <f>'9_Пр-во'!L2</f>
        <v>2032</v>
      </c>
      <c r="K2" s="365">
        <f>'9_Пр-во'!M2</f>
        <v>2033</v>
      </c>
    </row>
    <row r="3" spans="1:11" ht="16">
      <c r="A3" s="31" t="str">
        <f>'8_Цены_ГП'!B3</f>
        <v>ЛК</v>
      </c>
      <c r="B3" s="32">
        <f>'7_Выручка'!D4*'10_К-ция_ЛК'!$F$19</f>
        <v>0</v>
      </c>
      <c r="C3" s="32">
        <f>'7_Выручка'!E4*'10_К-ция_ЛК'!$F$19</f>
        <v>0</v>
      </c>
      <c r="D3" s="32">
        <f>'7_Выручка'!F4*'10_К-ция_ЛК'!$F$19/1000+'20-2_ЗиВН'!$J$3</f>
        <v>655203.20367591281</v>
      </c>
      <c r="E3" s="32">
        <f>'7_Выручка'!G4*'10_К-ция_ЛК'!$F$19/1000+'20-2_ЗиВН'!$J$3</f>
        <v>1309987.905850302</v>
      </c>
      <c r="F3" s="32">
        <f>'7_Выручка'!H4*'10_К-ция_ЛК'!$F$19/1000+'20-2_ЗиВН'!$J$3</f>
        <v>1309987.905850302</v>
      </c>
      <c r="G3" s="32">
        <f>'7_Выручка'!I4*'10_К-ция_ЛК'!$F$19/1000+'20-2_ЗиВН'!$J$3</f>
        <v>1309987.905850302</v>
      </c>
      <c r="H3" s="32">
        <f>'7_Выручка'!J4*'10_К-ция_ЛК'!$F$19/1000+'20-2_ЗиВН'!$J$3</f>
        <v>1309987.905850302</v>
      </c>
      <c r="I3" s="32">
        <f>'7_Выручка'!K4*'10_К-ция_ЛК'!$F$19/1000+'20-2_ЗиВН'!$J$3</f>
        <v>1309987.905850302</v>
      </c>
      <c r="J3" s="32">
        <f>'7_Выручка'!L4*'10_К-ция_ЛК'!$F$19/1000+'20-2_ЗиВН'!$J$3</f>
        <v>1309987.905850302</v>
      </c>
      <c r="K3" s="32">
        <f>'7_Выручка'!M4*'10_К-ция_ЛК'!$F$19/1000+'20-2_ЗиВН'!$J$3</f>
        <v>1309987.905850302</v>
      </c>
    </row>
    <row r="4" spans="1:11" ht="21" customHeight="1">
      <c r="A4" s="31" t="s">
        <v>1187</v>
      </c>
      <c r="B4" s="32">
        <f>'7_Выручка'!D5*'10-1_К-ция_ПП'!$F$5/1000</f>
        <v>0</v>
      </c>
      <c r="C4" s="32">
        <f>'7_Выручка'!E5*'10-1_К-ция_ПП'!$F$5/1000</f>
        <v>0</v>
      </c>
      <c r="D4" s="32">
        <f>'10-1_К-ция_ПП'!I5*0.5</f>
        <v>6237.1791431759457</v>
      </c>
      <c r="E4" s="32">
        <f>'10-1_К-ция_ПП'!I5</f>
        <v>12474.358286351891</v>
      </c>
      <c r="F4" s="32">
        <f>E4</f>
        <v>12474.358286351891</v>
      </c>
      <c r="G4" s="32">
        <f t="shared" ref="G4:K4" si="0">F4</f>
        <v>12474.358286351891</v>
      </c>
      <c r="H4" s="32">
        <f t="shared" si="0"/>
        <v>12474.358286351891</v>
      </c>
      <c r="I4" s="32">
        <f t="shared" si="0"/>
        <v>12474.358286351891</v>
      </c>
      <c r="J4" s="32">
        <f t="shared" si="0"/>
        <v>12474.358286351891</v>
      </c>
      <c r="K4" s="32">
        <f t="shared" si="0"/>
        <v>12474.358286351891</v>
      </c>
    </row>
    <row r="5" spans="1:11" ht="16">
      <c r="A5" s="47" t="s">
        <v>3</v>
      </c>
      <c r="B5" s="51">
        <f t="shared" ref="B5:K5" si="1">SUM(B3:B4)</f>
        <v>0</v>
      </c>
      <c r="C5" s="51">
        <f t="shared" si="1"/>
        <v>0</v>
      </c>
      <c r="D5" s="51">
        <f t="shared" si="1"/>
        <v>661440.38281908876</v>
      </c>
      <c r="E5" s="51">
        <f t="shared" si="1"/>
        <v>1322462.2641366539</v>
      </c>
      <c r="F5" s="51">
        <f t="shared" si="1"/>
        <v>1322462.2641366539</v>
      </c>
      <c r="G5" s="51">
        <f t="shared" si="1"/>
        <v>1322462.2641366539</v>
      </c>
      <c r="H5" s="51">
        <f t="shared" si="1"/>
        <v>1322462.2641366539</v>
      </c>
      <c r="I5" s="51">
        <f t="shared" si="1"/>
        <v>1322462.2641366539</v>
      </c>
      <c r="J5" s="51">
        <f t="shared" si="1"/>
        <v>1322462.2641366539</v>
      </c>
      <c r="K5" s="51">
        <f t="shared" si="1"/>
        <v>1322462.2641366539</v>
      </c>
    </row>
    <row r="6" spans="1:11" ht="16">
      <c r="A6" s="6" t="s">
        <v>70</v>
      </c>
      <c r="B6" s="71">
        <f>'0_Допущения'!C5/12</f>
        <v>0</v>
      </c>
    </row>
    <row r="8" spans="1:11">
      <c r="B8" s="46"/>
      <c r="C8" s="46"/>
      <c r="D8" s="46"/>
    </row>
    <row r="9" spans="1:11">
      <c r="B9" s="46"/>
      <c r="C9" s="46"/>
      <c r="D9" s="46"/>
    </row>
  </sheetData>
  <mergeCells count="1">
    <mergeCell ref="A1:I1"/>
  </mergeCells>
  <pageMargins left="0.7" right="0.7" top="0.75" bottom="0.75" header="0.3" footer="0.3"/>
  <pageSetup paperSize="9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19"/>
  <sheetViews>
    <sheetView zoomScale="120" zoomScaleNormal="120" workbookViewId="0">
      <selection sqref="A1:M15"/>
    </sheetView>
  </sheetViews>
  <sheetFormatPr baseColWidth="10" defaultColWidth="8.83203125" defaultRowHeight="15"/>
  <cols>
    <col min="1" max="1" width="15.5" style="452" customWidth="1"/>
    <col min="2" max="2" width="11" style="1" customWidth="1"/>
    <col min="3" max="3" width="10.1640625" style="1" bestFit="1" customWidth="1"/>
    <col min="4" max="4" width="10.6640625" style="448" customWidth="1"/>
    <col min="5" max="5" width="9.33203125" style="448" customWidth="1"/>
    <col min="6" max="11" width="8.83203125" style="448" bestFit="1" customWidth="1"/>
    <col min="12" max="12" width="11.1640625" style="448" customWidth="1"/>
    <col min="13" max="13" width="10.1640625" style="448" customWidth="1"/>
    <col min="14" max="167" width="8.83203125" style="1"/>
    <col min="168" max="168" width="17.1640625" style="1" customWidth="1"/>
    <col min="169" max="169" width="10.5" style="1" bestFit="1" customWidth="1"/>
    <col min="170" max="196" width="8" style="1" customWidth="1"/>
    <col min="197" max="197" width="9.1640625" style="1" customWidth="1"/>
    <col min="198" max="423" width="8.83203125" style="1"/>
    <col min="424" max="424" width="17.1640625" style="1" customWidth="1"/>
    <col min="425" max="425" width="10.5" style="1" bestFit="1" customWidth="1"/>
    <col min="426" max="452" width="8" style="1" customWidth="1"/>
    <col min="453" max="453" width="9.1640625" style="1" customWidth="1"/>
    <col min="454" max="679" width="8.83203125" style="1"/>
    <col min="680" max="680" width="17.1640625" style="1" customWidth="1"/>
    <col min="681" max="681" width="10.5" style="1" bestFit="1" customWidth="1"/>
    <col min="682" max="708" width="8" style="1" customWidth="1"/>
    <col min="709" max="709" width="9.1640625" style="1" customWidth="1"/>
    <col min="710" max="935" width="8.83203125" style="1"/>
    <col min="936" max="936" width="17.1640625" style="1" customWidth="1"/>
    <col min="937" max="937" width="10.5" style="1" bestFit="1" customWidth="1"/>
    <col min="938" max="964" width="8" style="1" customWidth="1"/>
    <col min="965" max="965" width="9.1640625" style="1" customWidth="1"/>
    <col min="966" max="1191" width="8.83203125" style="1"/>
    <col min="1192" max="1192" width="17.1640625" style="1" customWidth="1"/>
    <col min="1193" max="1193" width="10.5" style="1" bestFit="1" customWidth="1"/>
    <col min="1194" max="1220" width="8" style="1" customWidth="1"/>
    <col min="1221" max="1221" width="9.1640625" style="1" customWidth="1"/>
    <col min="1222" max="1447" width="8.83203125" style="1"/>
    <col min="1448" max="1448" width="17.1640625" style="1" customWidth="1"/>
    <col min="1449" max="1449" width="10.5" style="1" bestFit="1" customWidth="1"/>
    <col min="1450" max="1476" width="8" style="1" customWidth="1"/>
    <col min="1477" max="1477" width="9.1640625" style="1" customWidth="1"/>
    <col min="1478" max="1703" width="8.83203125" style="1"/>
    <col min="1704" max="1704" width="17.1640625" style="1" customWidth="1"/>
    <col min="1705" max="1705" width="10.5" style="1" bestFit="1" customWidth="1"/>
    <col min="1706" max="1732" width="8" style="1" customWidth="1"/>
    <col min="1733" max="1733" width="9.1640625" style="1" customWidth="1"/>
    <col min="1734" max="1959" width="8.83203125" style="1"/>
    <col min="1960" max="1960" width="17.1640625" style="1" customWidth="1"/>
    <col min="1961" max="1961" width="10.5" style="1" bestFit="1" customWidth="1"/>
    <col min="1962" max="1988" width="8" style="1" customWidth="1"/>
    <col min="1989" max="1989" width="9.1640625" style="1" customWidth="1"/>
    <col min="1990" max="2215" width="8.83203125" style="1"/>
    <col min="2216" max="2216" width="17.1640625" style="1" customWidth="1"/>
    <col min="2217" max="2217" width="10.5" style="1" bestFit="1" customWidth="1"/>
    <col min="2218" max="2244" width="8" style="1" customWidth="1"/>
    <col min="2245" max="2245" width="9.1640625" style="1" customWidth="1"/>
    <col min="2246" max="2471" width="8.83203125" style="1"/>
    <col min="2472" max="2472" width="17.1640625" style="1" customWidth="1"/>
    <col min="2473" max="2473" width="10.5" style="1" bestFit="1" customWidth="1"/>
    <col min="2474" max="2500" width="8" style="1" customWidth="1"/>
    <col min="2501" max="2501" width="9.1640625" style="1" customWidth="1"/>
    <col min="2502" max="2727" width="8.83203125" style="1"/>
    <col min="2728" max="2728" width="17.1640625" style="1" customWidth="1"/>
    <col min="2729" max="2729" width="10.5" style="1" bestFit="1" customWidth="1"/>
    <col min="2730" max="2756" width="8" style="1" customWidth="1"/>
    <col min="2757" max="2757" width="9.1640625" style="1" customWidth="1"/>
    <col min="2758" max="2983" width="8.83203125" style="1"/>
    <col min="2984" max="2984" width="17.1640625" style="1" customWidth="1"/>
    <col min="2985" max="2985" width="10.5" style="1" bestFit="1" customWidth="1"/>
    <col min="2986" max="3012" width="8" style="1" customWidth="1"/>
    <col min="3013" max="3013" width="9.1640625" style="1" customWidth="1"/>
    <col min="3014" max="3239" width="8.83203125" style="1"/>
    <col min="3240" max="3240" width="17.1640625" style="1" customWidth="1"/>
    <col min="3241" max="3241" width="10.5" style="1" bestFit="1" customWidth="1"/>
    <col min="3242" max="3268" width="8" style="1" customWidth="1"/>
    <col min="3269" max="3269" width="9.1640625" style="1" customWidth="1"/>
    <col min="3270" max="3495" width="8.83203125" style="1"/>
    <col min="3496" max="3496" width="17.1640625" style="1" customWidth="1"/>
    <col min="3497" max="3497" width="10.5" style="1" bestFit="1" customWidth="1"/>
    <col min="3498" max="3524" width="8" style="1" customWidth="1"/>
    <col min="3525" max="3525" width="9.1640625" style="1" customWidth="1"/>
    <col min="3526" max="3751" width="8.83203125" style="1"/>
    <col min="3752" max="3752" width="17.1640625" style="1" customWidth="1"/>
    <col min="3753" max="3753" width="10.5" style="1" bestFit="1" customWidth="1"/>
    <col min="3754" max="3780" width="8" style="1" customWidth="1"/>
    <col min="3781" max="3781" width="9.1640625" style="1" customWidth="1"/>
    <col min="3782" max="4007" width="8.83203125" style="1"/>
    <col min="4008" max="4008" width="17.1640625" style="1" customWidth="1"/>
    <col min="4009" max="4009" width="10.5" style="1" bestFit="1" customWidth="1"/>
    <col min="4010" max="4036" width="8" style="1" customWidth="1"/>
    <col min="4037" max="4037" width="9.1640625" style="1" customWidth="1"/>
    <col min="4038" max="4263" width="8.83203125" style="1"/>
    <col min="4264" max="4264" width="17.1640625" style="1" customWidth="1"/>
    <col min="4265" max="4265" width="10.5" style="1" bestFit="1" customWidth="1"/>
    <col min="4266" max="4292" width="8" style="1" customWidth="1"/>
    <col min="4293" max="4293" width="9.1640625" style="1" customWidth="1"/>
    <col min="4294" max="4519" width="8.83203125" style="1"/>
    <col min="4520" max="4520" width="17.1640625" style="1" customWidth="1"/>
    <col min="4521" max="4521" width="10.5" style="1" bestFit="1" customWidth="1"/>
    <col min="4522" max="4548" width="8" style="1" customWidth="1"/>
    <col min="4549" max="4549" width="9.1640625" style="1" customWidth="1"/>
    <col min="4550" max="4775" width="8.83203125" style="1"/>
    <col min="4776" max="4776" width="17.1640625" style="1" customWidth="1"/>
    <col min="4777" max="4777" width="10.5" style="1" bestFit="1" customWidth="1"/>
    <col min="4778" max="4804" width="8" style="1" customWidth="1"/>
    <col min="4805" max="4805" width="9.1640625" style="1" customWidth="1"/>
    <col min="4806" max="5031" width="8.83203125" style="1"/>
    <col min="5032" max="5032" width="17.1640625" style="1" customWidth="1"/>
    <col min="5033" max="5033" width="10.5" style="1" bestFit="1" customWidth="1"/>
    <col min="5034" max="5060" width="8" style="1" customWidth="1"/>
    <col min="5061" max="5061" width="9.1640625" style="1" customWidth="1"/>
    <col min="5062" max="5287" width="8.83203125" style="1"/>
    <col min="5288" max="5288" width="17.1640625" style="1" customWidth="1"/>
    <col min="5289" max="5289" width="10.5" style="1" bestFit="1" customWidth="1"/>
    <col min="5290" max="5316" width="8" style="1" customWidth="1"/>
    <col min="5317" max="5317" width="9.1640625" style="1" customWidth="1"/>
    <col min="5318" max="5543" width="8.83203125" style="1"/>
    <col min="5544" max="5544" width="17.1640625" style="1" customWidth="1"/>
    <col min="5545" max="5545" width="10.5" style="1" bestFit="1" customWidth="1"/>
    <col min="5546" max="5572" width="8" style="1" customWidth="1"/>
    <col min="5573" max="5573" width="9.1640625" style="1" customWidth="1"/>
    <col min="5574" max="5799" width="8.83203125" style="1"/>
    <col min="5800" max="5800" width="17.1640625" style="1" customWidth="1"/>
    <col min="5801" max="5801" width="10.5" style="1" bestFit="1" customWidth="1"/>
    <col min="5802" max="5828" width="8" style="1" customWidth="1"/>
    <col min="5829" max="5829" width="9.1640625" style="1" customWidth="1"/>
    <col min="5830" max="6055" width="8.83203125" style="1"/>
    <col min="6056" max="6056" width="17.1640625" style="1" customWidth="1"/>
    <col min="6057" max="6057" width="10.5" style="1" bestFit="1" customWidth="1"/>
    <col min="6058" max="6084" width="8" style="1" customWidth="1"/>
    <col min="6085" max="6085" width="9.1640625" style="1" customWidth="1"/>
    <col min="6086" max="6311" width="8.83203125" style="1"/>
    <col min="6312" max="6312" width="17.1640625" style="1" customWidth="1"/>
    <col min="6313" max="6313" width="10.5" style="1" bestFit="1" customWidth="1"/>
    <col min="6314" max="6340" width="8" style="1" customWidth="1"/>
    <col min="6341" max="6341" width="9.1640625" style="1" customWidth="1"/>
    <col min="6342" max="6567" width="8.83203125" style="1"/>
    <col min="6568" max="6568" width="17.1640625" style="1" customWidth="1"/>
    <col min="6569" max="6569" width="10.5" style="1" bestFit="1" customWidth="1"/>
    <col min="6570" max="6596" width="8" style="1" customWidth="1"/>
    <col min="6597" max="6597" width="9.1640625" style="1" customWidth="1"/>
    <col min="6598" max="6823" width="8.83203125" style="1"/>
    <col min="6824" max="6824" width="17.1640625" style="1" customWidth="1"/>
    <col min="6825" max="6825" width="10.5" style="1" bestFit="1" customWidth="1"/>
    <col min="6826" max="6852" width="8" style="1" customWidth="1"/>
    <col min="6853" max="6853" width="9.1640625" style="1" customWidth="1"/>
    <col min="6854" max="7079" width="8.83203125" style="1"/>
    <col min="7080" max="7080" width="17.1640625" style="1" customWidth="1"/>
    <col min="7081" max="7081" width="10.5" style="1" bestFit="1" customWidth="1"/>
    <col min="7082" max="7108" width="8" style="1" customWidth="1"/>
    <col min="7109" max="7109" width="9.1640625" style="1" customWidth="1"/>
    <col min="7110" max="7335" width="8.83203125" style="1"/>
    <col min="7336" max="7336" width="17.1640625" style="1" customWidth="1"/>
    <col min="7337" max="7337" width="10.5" style="1" bestFit="1" customWidth="1"/>
    <col min="7338" max="7364" width="8" style="1" customWidth="1"/>
    <col min="7365" max="7365" width="9.1640625" style="1" customWidth="1"/>
    <col min="7366" max="7591" width="8.83203125" style="1"/>
    <col min="7592" max="7592" width="17.1640625" style="1" customWidth="1"/>
    <col min="7593" max="7593" width="10.5" style="1" bestFit="1" customWidth="1"/>
    <col min="7594" max="7620" width="8" style="1" customWidth="1"/>
    <col min="7621" max="7621" width="9.1640625" style="1" customWidth="1"/>
    <col min="7622" max="7847" width="8.83203125" style="1"/>
    <col min="7848" max="7848" width="17.1640625" style="1" customWidth="1"/>
    <col min="7849" max="7849" width="10.5" style="1" bestFit="1" customWidth="1"/>
    <col min="7850" max="7876" width="8" style="1" customWidth="1"/>
    <col min="7877" max="7877" width="9.1640625" style="1" customWidth="1"/>
    <col min="7878" max="8103" width="8.83203125" style="1"/>
    <col min="8104" max="8104" width="17.1640625" style="1" customWidth="1"/>
    <col min="8105" max="8105" width="10.5" style="1" bestFit="1" customWidth="1"/>
    <col min="8106" max="8132" width="8" style="1" customWidth="1"/>
    <col min="8133" max="8133" width="9.1640625" style="1" customWidth="1"/>
    <col min="8134" max="8359" width="8.83203125" style="1"/>
    <col min="8360" max="8360" width="17.1640625" style="1" customWidth="1"/>
    <col min="8361" max="8361" width="10.5" style="1" bestFit="1" customWidth="1"/>
    <col min="8362" max="8388" width="8" style="1" customWidth="1"/>
    <col min="8389" max="8389" width="9.1640625" style="1" customWidth="1"/>
    <col min="8390" max="8615" width="8.83203125" style="1"/>
    <col min="8616" max="8616" width="17.1640625" style="1" customWidth="1"/>
    <col min="8617" max="8617" width="10.5" style="1" bestFit="1" customWidth="1"/>
    <col min="8618" max="8644" width="8" style="1" customWidth="1"/>
    <col min="8645" max="8645" width="9.1640625" style="1" customWidth="1"/>
    <col min="8646" max="8871" width="8.83203125" style="1"/>
    <col min="8872" max="8872" width="17.1640625" style="1" customWidth="1"/>
    <col min="8873" max="8873" width="10.5" style="1" bestFit="1" customWidth="1"/>
    <col min="8874" max="8900" width="8" style="1" customWidth="1"/>
    <col min="8901" max="8901" width="9.1640625" style="1" customWidth="1"/>
    <col min="8902" max="9127" width="8.83203125" style="1"/>
    <col min="9128" max="9128" width="17.1640625" style="1" customWidth="1"/>
    <col min="9129" max="9129" width="10.5" style="1" bestFit="1" customWidth="1"/>
    <col min="9130" max="9156" width="8" style="1" customWidth="1"/>
    <col min="9157" max="9157" width="9.1640625" style="1" customWidth="1"/>
    <col min="9158" max="9383" width="8.83203125" style="1"/>
    <col min="9384" max="9384" width="17.1640625" style="1" customWidth="1"/>
    <col min="9385" max="9385" width="10.5" style="1" bestFit="1" customWidth="1"/>
    <col min="9386" max="9412" width="8" style="1" customWidth="1"/>
    <col min="9413" max="9413" width="9.1640625" style="1" customWidth="1"/>
    <col min="9414" max="9639" width="8.83203125" style="1"/>
    <col min="9640" max="9640" width="17.1640625" style="1" customWidth="1"/>
    <col min="9641" max="9641" width="10.5" style="1" bestFit="1" customWidth="1"/>
    <col min="9642" max="9668" width="8" style="1" customWidth="1"/>
    <col min="9669" max="9669" width="9.1640625" style="1" customWidth="1"/>
    <col min="9670" max="9895" width="8.83203125" style="1"/>
    <col min="9896" max="9896" width="17.1640625" style="1" customWidth="1"/>
    <col min="9897" max="9897" width="10.5" style="1" bestFit="1" customWidth="1"/>
    <col min="9898" max="9924" width="8" style="1" customWidth="1"/>
    <col min="9925" max="9925" width="9.1640625" style="1" customWidth="1"/>
    <col min="9926" max="10151" width="8.83203125" style="1"/>
    <col min="10152" max="10152" width="17.1640625" style="1" customWidth="1"/>
    <col min="10153" max="10153" width="10.5" style="1" bestFit="1" customWidth="1"/>
    <col min="10154" max="10180" width="8" style="1" customWidth="1"/>
    <col min="10181" max="10181" width="9.1640625" style="1" customWidth="1"/>
    <col min="10182" max="10407" width="8.83203125" style="1"/>
    <col min="10408" max="10408" width="17.1640625" style="1" customWidth="1"/>
    <col min="10409" max="10409" width="10.5" style="1" bestFit="1" customWidth="1"/>
    <col min="10410" max="10436" width="8" style="1" customWidth="1"/>
    <col min="10437" max="10437" width="9.1640625" style="1" customWidth="1"/>
    <col min="10438" max="10663" width="8.83203125" style="1"/>
    <col min="10664" max="10664" width="17.1640625" style="1" customWidth="1"/>
    <col min="10665" max="10665" width="10.5" style="1" bestFit="1" customWidth="1"/>
    <col min="10666" max="10692" width="8" style="1" customWidth="1"/>
    <col min="10693" max="10693" width="9.1640625" style="1" customWidth="1"/>
    <col min="10694" max="10919" width="8.83203125" style="1"/>
    <col min="10920" max="10920" width="17.1640625" style="1" customWidth="1"/>
    <col min="10921" max="10921" width="10.5" style="1" bestFit="1" customWidth="1"/>
    <col min="10922" max="10948" width="8" style="1" customWidth="1"/>
    <col min="10949" max="10949" width="9.1640625" style="1" customWidth="1"/>
    <col min="10950" max="11175" width="8.83203125" style="1"/>
    <col min="11176" max="11176" width="17.1640625" style="1" customWidth="1"/>
    <col min="11177" max="11177" width="10.5" style="1" bestFit="1" customWidth="1"/>
    <col min="11178" max="11204" width="8" style="1" customWidth="1"/>
    <col min="11205" max="11205" width="9.1640625" style="1" customWidth="1"/>
    <col min="11206" max="11431" width="8.83203125" style="1"/>
    <col min="11432" max="11432" width="17.1640625" style="1" customWidth="1"/>
    <col min="11433" max="11433" width="10.5" style="1" bestFit="1" customWidth="1"/>
    <col min="11434" max="11460" width="8" style="1" customWidth="1"/>
    <col min="11461" max="11461" width="9.1640625" style="1" customWidth="1"/>
    <col min="11462" max="11687" width="8.83203125" style="1"/>
    <col min="11688" max="11688" width="17.1640625" style="1" customWidth="1"/>
    <col min="11689" max="11689" width="10.5" style="1" bestFit="1" customWidth="1"/>
    <col min="11690" max="11716" width="8" style="1" customWidth="1"/>
    <col min="11717" max="11717" width="9.1640625" style="1" customWidth="1"/>
    <col min="11718" max="11943" width="8.83203125" style="1"/>
    <col min="11944" max="11944" width="17.1640625" style="1" customWidth="1"/>
    <col min="11945" max="11945" width="10.5" style="1" bestFit="1" customWidth="1"/>
    <col min="11946" max="11972" width="8" style="1" customWidth="1"/>
    <col min="11973" max="11973" width="9.1640625" style="1" customWidth="1"/>
    <col min="11974" max="12199" width="8.83203125" style="1"/>
    <col min="12200" max="12200" width="17.1640625" style="1" customWidth="1"/>
    <col min="12201" max="12201" width="10.5" style="1" bestFit="1" customWidth="1"/>
    <col min="12202" max="12228" width="8" style="1" customWidth="1"/>
    <col min="12229" max="12229" width="9.1640625" style="1" customWidth="1"/>
    <col min="12230" max="12455" width="8.83203125" style="1"/>
    <col min="12456" max="12456" width="17.1640625" style="1" customWidth="1"/>
    <col min="12457" max="12457" width="10.5" style="1" bestFit="1" customWidth="1"/>
    <col min="12458" max="12484" width="8" style="1" customWidth="1"/>
    <col min="12485" max="12485" width="9.1640625" style="1" customWidth="1"/>
    <col min="12486" max="12711" width="8.83203125" style="1"/>
    <col min="12712" max="12712" width="17.1640625" style="1" customWidth="1"/>
    <col min="12713" max="12713" width="10.5" style="1" bestFit="1" customWidth="1"/>
    <col min="12714" max="12740" width="8" style="1" customWidth="1"/>
    <col min="12741" max="12741" width="9.1640625" style="1" customWidth="1"/>
    <col min="12742" max="12967" width="8.83203125" style="1"/>
    <col min="12968" max="12968" width="17.1640625" style="1" customWidth="1"/>
    <col min="12969" max="12969" width="10.5" style="1" bestFit="1" customWidth="1"/>
    <col min="12970" max="12996" width="8" style="1" customWidth="1"/>
    <col min="12997" max="12997" width="9.1640625" style="1" customWidth="1"/>
    <col min="12998" max="13223" width="8.83203125" style="1"/>
    <col min="13224" max="13224" width="17.1640625" style="1" customWidth="1"/>
    <col min="13225" max="13225" width="10.5" style="1" bestFit="1" customWidth="1"/>
    <col min="13226" max="13252" width="8" style="1" customWidth="1"/>
    <col min="13253" max="13253" width="9.1640625" style="1" customWidth="1"/>
    <col min="13254" max="13479" width="8.83203125" style="1"/>
    <col min="13480" max="13480" width="17.1640625" style="1" customWidth="1"/>
    <col min="13481" max="13481" width="10.5" style="1" bestFit="1" customWidth="1"/>
    <col min="13482" max="13508" width="8" style="1" customWidth="1"/>
    <col min="13509" max="13509" width="9.1640625" style="1" customWidth="1"/>
    <col min="13510" max="13735" width="8.83203125" style="1"/>
    <col min="13736" max="13736" width="17.1640625" style="1" customWidth="1"/>
    <col min="13737" max="13737" width="10.5" style="1" bestFit="1" customWidth="1"/>
    <col min="13738" max="13764" width="8" style="1" customWidth="1"/>
    <col min="13765" max="13765" width="9.1640625" style="1" customWidth="1"/>
    <col min="13766" max="13991" width="8.83203125" style="1"/>
    <col min="13992" max="13992" width="17.1640625" style="1" customWidth="1"/>
    <col min="13993" max="13993" width="10.5" style="1" bestFit="1" customWidth="1"/>
    <col min="13994" max="14020" width="8" style="1" customWidth="1"/>
    <col min="14021" max="14021" width="9.1640625" style="1" customWidth="1"/>
    <col min="14022" max="14247" width="8.83203125" style="1"/>
    <col min="14248" max="14248" width="17.1640625" style="1" customWidth="1"/>
    <col min="14249" max="14249" width="10.5" style="1" bestFit="1" customWidth="1"/>
    <col min="14250" max="14276" width="8" style="1" customWidth="1"/>
    <col min="14277" max="14277" width="9.1640625" style="1" customWidth="1"/>
    <col min="14278" max="14503" width="8.83203125" style="1"/>
    <col min="14504" max="14504" width="17.1640625" style="1" customWidth="1"/>
    <col min="14505" max="14505" width="10.5" style="1" bestFit="1" customWidth="1"/>
    <col min="14506" max="14532" width="8" style="1" customWidth="1"/>
    <col min="14533" max="14533" width="9.1640625" style="1" customWidth="1"/>
    <col min="14534" max="14759" width="8.83203125" style="1"/>
    <col min="14760" max="14760" width="17.1640625" style="1" customWidth="1"/>
    <col min="14761" max="14761" width="10.5" style="1" bestFit="1" customWidth="1"/>
    <col min="14762" max="14788" width="8" style="1" customWidth="1"/>
    <col min="14789" max="14789" width="9.1640625" style="1" customWidth="1"/>
    <col min="14790" max="15015" width="8.83203125" style="1"/>
    <col min="15016" max="15016" width="17.1640625" style="1" customWidth="1"/>
    <col min="15017" max="15017" width="10.5" style="1" bestFit="1" customWidth="1"/>
    <col min="15018" max="15044" width="8" style="1" customWidth="1"/>
    <col min="15045" max="15045" width="9.1640625" style="1" customWidth="1"/>
    <col min="15046" max="15271" width="8.83203125" style="1"/>
    <col min="15272" max="15272" width="17.1640625" style="1" customWidth="1"/>
    <col min="15273" max="15273" width="10.5" style="1" bestFit="1" customWidth="1"/>
    <col min="15274" max="15300" width="8" style="1" customWidth="1"/>
    <col min="15301" max="15301" width="9.1640625" style="1" customWidth="1"/>
    <col min="15302" max="15527" width="8.83203125" style="1"/>
    <col min="15528" max="15528" width="17.1640625" style="1" customWidth="1"/>
    <col min="15529" max="15529" width="10.5" style="1" bestFit="1" customWidth="1"/>
    <col min="15530" max="15556" width="8" style="1" customWidth="1"/>
    <col min="15557" max="15557" width="9.1640625" style="1" customWidth="1"/>
    <col min="15558" max="15783" width="8.83203125" style="1"/>
    <col min="15784" max="15784" width="17.1640625" style="1" customWidth="1"/>
    <col min="15785" max="15785" width="10.5" style="1" bestFit="1" customWidth="1"/>
    <col min="15786" max="15812" width="8" style="1" customWidth="1"/>
    <col min="15813" max="15813" width="9.1640625" style="1" customWidth="1"/>
    <col min="15814" max="16039" width="8.83203125" style="1"/>
    <col min="16040" max="16040" width="17.1640625" style="1" customWidth="1"/>
    <col min="16041" max="16041" width="10.5" style="1" bestFit="1" customWidth="1"/>
    <col min="16042" max="16068" width="8" style="1" customWidth="1"/>
    <col min="16069" max="16069" width="9.1640625" style="1" customWidth="1"/>
    <col min="16070" max="16384" width="8.83203125" style="1"/>
  </cols>
  <sheetData>
    <row r="1" spans="1:14" ht="22" customHeight="1">
      <c r="A1" s="843" t="s">
        <v>683</v>
      </c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406" t="s">
        <v>2</v>
      </c>
      <c r="M1" s="406" t="s">
        <v>1221</v>
      </c>
    </row>
    <row r="2" spans="1:14" ht="16">
      <c r="A2" s="446" t="s">
        <v>628</v>
      </c>
      <c r="B2" s="447">
        <v>10</v>
      </c>
    </row>
    <row r="3" spans="1:14" ht="16">
      <c r="A3" s="446" t="s">
        <v>629</v>
      </c>
      <c r="B3" s="465">
        <f>'2_Бюджет'!B12</f>
        <v>8.5999999999999993E-2</v>
      </c>
    </row>
    <row r="4" spans="1:14" ht="16">
      <c r="A4" s="446" t="s">
        <v>630</v>
      </c>
      <c r="B4" s="449">
        <f>B5-M10</f>
        <v>0.35974375065416098</v>
      </c>
      <c r="D4" s="450">
        <f>B4/B5</f>
        <v>4.730804744424083E-8</v>
      </c>
    </row>
    <row r="5" spans="1:14" ht="28" customHeight="1">
      <c r="A5" s="446" t="s">
        <v>627</v>
      </c>
      <c r="B5" s="464">
        <f>M9</f>
        <v>7604282.3597437507</v>
      </c>
    </row>
    <row r="6" spans="1:14" ht="16">
      <c r="B6" s="452" t="s">
        <v>576</v>
      </c>
      <c r="C6" s="736">
        <v>1</v>
      </c>
      <c r="D6" s="448">
        <v>2</v>
      </c>
      <c r="E6" s="736">
        <v>3</v>
      </c>
      <c r="F6" s="448">
        <v>4</v>
      </c>
      <c r="G6" s="736">
        <v>5</v>
      </c>
      <c r="H6" s="448">
        <v>6</v>
      </c>
      <c r="I6" s="736">
        <v>7</v>
      </c>
      <c r="J6" s="448">
        <v>8</v>
      </c>
      <c r="K6" s="736">
        <v>9</v>
      </c>
      <c r="L6" s="448">
        <v>10</v>
      </c>
    </row>
    <row r="7" spans="1:14" s="3" customFormat="1" ht="20.25" customHeight="1">
      <c r="A7" s="453"/>
      <c r="B7" s="453" t="s">
        <v>12</v>
      </c>
      <c r="C7" s="454">
        <f>'9_Пр-во'!D2</f>
        <v>2024</v>
      </c>
      <c r="D7" s="454">
        <f>'9_Пр-во'!E2</f>
        <v>2025</v>
      </c>
      <c r="E7" s="454">
        <f>'9_Пр-во'!F2</f>
        <v>2026</v>
      </c>
      <c r="F7" s="454">
        <f>'9_Пр-во'!G2</f>
        <v>2027</v>
      </c>
      <c r="G7" s="454">
        <f>'9_Пр-во'!H2</f>
        <v>2028</v>
      </c>
      <c r="H7" s="454">
        <f>'9_Пр-во'!I2</f>
        <v>2029</v>
      </c>
      <c r="I7" s="454">
        <f>'9_Пр-во'!J2</f>
        <v>2030</v>
      </c>
      <c r="J7" s="454">
        <f>'9_Пр-во'!K2</f>
        <v>2031</v>
      </c>
      <c r="K7" s="454">
        <f>'9_Пр-во'!L2</f>
        <v>2032</v>
      </c>
      <c r="L7" s="454">
        <f>'9_Пр-во'!M2</f>
        <v>2033</v>
      </c>
      <c r="M7" s="406" t="s">
        <v>3</v>
      </c>
      <c r="N7" s="3" t="s">
        <v>1206</v>
      </c>
    </row>
    <row r="8" spans="1:14" s="457" customFormat="1" ht="32">
      <c r="A8" s="11" t="s">
        <v>13</v>
      </c>
      <c r="B8" s="11">
        <f>SUM(D8:L8)</f>
        <v>11593911.188326925</v>
      </c>
      <c r="C8" s="455">
        <f>'17_ПДДС'!C13</f>
        <v>0</v>
      </c>
      <c r="D8" s="455">
        <f>'17_ПДДС'!D13</f>
        <v>0</v>
      </c>
      <c r="E8" s="455">
        <f>'17_ПДДС'!E13</f>
        <v>2136682.5109501304</v>
      </c>
      <c r="F8" s="455">
        <f>'17_ПДДС'!F13</f>
        <v>1421937.776749731</v>
      </c>
      <c r="G8" s="455">
        <f>'17_ПДДС'!G13</f>
        <v>1365108.5151445109</v>
      </c>
      <c r="H8" s="455">
        <f>'17_ПДДС'!H13</f>
        <v>1355717.3151445109</v>
      </c>
      <c r="I8" s="455">
        <f>'17_ПДДС'!I13</f>
        <v>1345603.7151445108</v>
      </c>
      <c r="J8" s="455">
        <f>'17_ПДДС'!J13</f>
        <v>1334664.5151445109</v>
      </c>
      <c r="K8" s="455">
        <f>'17_ПДДС'!K13</f>
        <v>1323002.9151445108</v>
      </c>
      <c r="L8" s="455">
        <f>'17_ПДДС'!L13</f>
        <v>1311193.9249045108</v>
      </c>
      <c r="M8" s="456">
        <f>SUM(C8:L8)</f>
        <v>11593911.188326925</v>
      </c>
    </row>
    <row r="9" spans="1:14" s="457" customFormat="1" ht="22.5" customHeight="1">
      <c r="A9" s="12" t="s">
        <v>14</v>
      </c>
      <c r="B9" s="11">
        <f>SUM(C9:L9)</f>
        <v>7604282.3597437507</v>
      </c>
      <c r="C9" s="458">
        <f>'18_График'!B9+165000</f>
        <v>3719641.1798718753</v>
      </c>
      <c r="D9" s="458">
        <f>'18_График'!C9+330000</f>
        <v>3884641.1798718753</v>
      </c>
      <c r="E9" s="458">
        <f>'18_График'!D9</f>
        <v>0</v>
      </c>
      <c r="F9" s="458">
        <f>'18_График'!E9</f>
        <v>0</v>
      </c>
      <c r="G9" s="458">
        <f>'18_График'!E9</f>
        <v>0</v>
      </c>
      <c r="H9" s="458">
        <f>'18_График'!F9</f>
        <v>0</v>
      </c>
      <c r="I9" s="458">
        <f>'18_График'!G9</f>
        <v>0</v>
      </c>
      <c r="J9" s="458">
        <f>'18_График'!H9</f>
        <v>0</v>
      </c>
      <c r="K9" s="458">
        <f>'18_График'!I9</f>
        <v>0</v>
      </c>
      <c r="L9" s="458">
        <f>'18_График'!J9</f>
        <v>0</v>
      </c>
      <c r="M9" s="456">
        <f>SUM(C9:L9)</f>
        <v>7604282.3597437507</v>
      </c>
    </row>
    <row r="10" spans="1:14" s="460" customFormat="1" ht="28.5" customHeight="1">
      <c r="A10" s="13" t="s">
        <v>10</v>
      </c>
      <c r="B10" s="11">
        <f>SUM(D10:L10)</f>
        <v>7604282</v>
      </c>
      <c r="C10" s="455"/>
      <c r="D10" s="458">
        <v>0</v>
      </c>
      <c r="E10" s="458">
        <v>1470000</v>
      </c>
      <c r="F10" s="458">
        <v>910000</v>
      </c>
      <c r="G10" s="458">
        <v>910000</v>
      </c>
      <c r="H10" s="458">
        <v>980000</v>
      </c>
      <c r="I10" s="458">
        <v>1060000</v>
      </c>
      <c r="J10" s="458">
        <v>1130000</v>
      </c>
      <c r="K10" s="458">
        <f>1143546+736</f>
        <v>1144282</v>
      </c>
      <c r="L10" s="458">
        <v>0</v>
      </c>
      <c r="M10" s="459">
        <f>SUM(C10:L10)</f>
        <v>7604282</v>
      </c>
    </row>
    <row r="11" spans="1:14" s="461" customFormat="1" ht="25.5" customHeight="1">
      <c r="A11" s="14" t="s">
        <v>15</v>
      </c>
      <c r="B11" s="11"/>
      <c r="C11" s="455">
        <f>C9</f>
        <v>3719641.1798718753</v>
      </c>
      <c r="D11" s="51">
        <f>D9+C11-D10</f>
        <v>7604282.3597437507</v>
      </c>
      <c r="E11" s="51">
        <f t="shared" ref="E11:K11" si="0">E9+D11-E10</f>
        <v>6134282.3597437507</v>
      </c>
      <c r="F11" s="51">
        <f>F9+E11-F10</f>
        <v>5224282.3597437507</v>
      </c>
      <c r="G11" s="51">
        <f t="shared" si="0"/>
        <v>4314282.3597437507</v>
      </c>
      <c r="H11" s="51">
        <f t="shared" si="0"/>
        <v>3334282.3597437507</v>
      </c>
      <c r="I11" s="51">
        <f t="shared" si="0"/>
        <v>2274282.3597437507</v>
      </c>
      <c r="J11" s="51">
        <f t="shared" si="0"/>
        <v>1144282.3597437507</v>
      </c>
      <c r="K11" s="51">
        <f t="shared" si="0"/>
        <v>0.35974375065416098</v>
      </c>
      <c r="L11" s="51">
        <f>L9+K11-L10</f>
        <v>0.35974375065416098</v>
      </c>
      <c r="M11" s="456">
        <f>L11</f>
        <v>0.35974375065416098</v>
      </c>
    </row>
    <row r="12" spans="1:14" s="461" customFormat="1" ht="19.5" customHeight="1">
      <c r="A12" s="14" t="s">
        <v>16</v>
      </c>
      <c r="B12" s="11">
        <f>SUM(D12:L12)</f>
        <v>2902467.1529726819</v>
      </c>
      <c r="C12" s="4">
        <f>C11/2*B3</f>
        <v>159944.57073449064</v>
      </c>
      <c r="D12" s="4">
        <f>C11*$B$3</f>
        <v>319889.14146898128</v>
      </c>
      <c r="E12" s="4">
        <f>D11*$B$3</f>
        <v>653968.28293796256</v>
      </c>
      <c r="F12" s="4">
        <f>E11*$B$3</f>
        <v>527548.28293796256</v>
      </c>
      <c r="G12" s="4">
        <f t="shared" ref="G12:L12" si="1">F11*$B$3</f>
        <v>449288.2829379625</v>
      </c>
      <c r="H12" s="4">
        <f t="shared" si="1"/>
        <v>371028.2829379625</v>
      </c>
      <c r="I12" s="4">
        <f t="shared" si="1"/>
        <v>286748.28293796256</v>
      </c>
      <c r="J12" s="4">
        <f t="shared" si="1"/>
        <v>195588.28293796253</v>
      </c>
      <c r="K12" s="4">
        <f t="shared" si="1"/>
        <v>98408.282937962547</v>
      </c>
      <c r="L12" s="4">
        <f t="shared" si="1"/>
        <v>3.0937962556257841E-2</v>
      </c>
      <c r="M12" s="456">
        <f>SUM(C12:L12)</f>
        <v>3062411.7237071726</v>
      </c>
      <c r="N12" s="777">
        <f>AVERAGE(C12:K12)</f>
        <v>340267.96586324554</v>
      </c>
    </row>
    <row r="13" spans="1:14" s="463" customFormat="1" ht="23.25" customHeight="1">
      <c r="A13" s="15" t="s">
        <v>11</v>
      </c>
      <c r="B13" s="15"/>
      <c r="C13" s="782">
        <f>C8/(C12+C10)</f>
        <v>0</v>
      </c>
      <c r="D13" s="782">
        <f>D8/(D12+D10)</f>
        <v>0</v>
      </c>
      <c r="E13" s="782">
        <f>E8/(E12+E10)</f>
        <v>1.0059860724448206</v>
      </c>
      <c r="F13" s="782">
        <f t="shared" ref="F13:L13" si="2">F8/(F12+F10)</f>
        <v>0.98914088217174323</v>
      </c>
      <c r="G13" s="782">
        <f>G8/(G12+G10)</f>
        <v>1.0042818232744333</v>
      </c>
      <c r="H13" s="782">
        <f>H8/(H12+H10)</f>
        <v>1.0034707135785133</v>
      </c>
      <c r="I13" s="782">
        <f>I8/(I12+I10)</f>
        <v>0.99915012492835353</v>
      </c>
      <c r="J13" s="782">
        <f t="shared" si="2"/>
        <v>1.0068469466148511</v>
      </c>
      <c r="K13" s="782">
        <f t="shared" si="2"/>
        <v>1.0646280358905467</v>
      </c>
      <c r="L13" s="782">
        <f t="shared" si="2"/>
        <v>42381392.198022902</v>
      </c>
      <c r="M13" s="462"/>
    </row>
    <row r="14" spans="1:14" ht="16">
      <c r="A14" s="452" t="s">
        <v>142</v>
      </c>
      <c r="C14" s="451">
        <f>'17_ПДДС'!C21</f>
        <v>5055.4292655093595</v>
      </c>
      <c r="D14" s="451">
        <f>'17_ПДДС'!D21</f>
        <v>15166.287796528079</v>
      </c>
      <c r="E14" s="451">
        <f>'17_ПДДС'!E21</f>
        <v>27880.515808695927</v>
      </c>
      <c r="F14" s="451">
        <f>'17_ПДДС'!F21</f>
        <v>12270.009620464407</v>
      </c>
      <c r="G14" s="451">
        <f>'17_ПДДС'!G21</f>
        <v>18090.241827012738</v>
      </c>
      <c r="H14" s="451">
        <f>'17_ПДДС'!H21</f>
        <v>22779.274033561116</v>
      </c>
      <c r="I14" s="451">
        <f>'17_ПДДС'!I21</f>
        <v>21634.706240109401</v>
      </c>
      <c r="J14" s="451">
        <f>'17_ПДДС'!J21</f>
        <v>30710.938446657732</v>
      </c>
      <c r="K14" s="451">
        <f>'17_ПДДС'!K21</f>
        <v>111023.57065320597</v>
      </c>
      <c r="L14" s="451">
        <f>'17_ПДДС'!L21</f>
        <v>1422217.4646197543</v>
      </c>
    </row>
    <row r="15" spans="1:14" ht="32">
      <c r="A15" s="452" t="s">
        <v>145</v>
      </c>
      <c r="D15" s="451">
        <f>'17_ПДДС'!C22</f>
        <v>0</v>
      </c>
      <c r="E15" s="451">
        <f>'17_ПДДС'!D22</f>
        <v>0</v>
      </c>
      <c r="F15" s="451">
        <f>'17_ПДДС'!E22</f>
        <v>0</v>
      </c>
      <c r="G15" s="451">
        <f>'17_ПДДС'!F22</f>
        <v>0</v>
      </c>
      <c r="H15" s="451">
        <f>'17_ПДДС'!G22</f>
        <v>0</v>
      </c>
      <c r="I15" s="451">
        <f>'17_ПДДС'!H22</f>
        <v>0</v>
      </c>
      <c r="J15" s="451">
        <f>'17_ПДДС'!I22</f>
        <v>0</v>
      </c>
      <c r="K15" s="451">
        <f>'17_ПДДС'!J22</f>
        <v>0</v>
      </c>
      <c r="L15" s="451">
        <f>'17_ПДДС'!K22</f>
        <v>0</v>
      </c>
    </row>
    <row r="19" spans="7:9">
      <c r="G19" s="451"/>
      <c r="I19" s="451"/>
    </row>
  </sheetData>
  <mergeCells count="1">
    <mergeCell ref="A1:K1"/>
  </mergeCells>
  <pageMargins left="0.18" right="0.25" top="0.75" bottom="0.75" header="0.3" footer="0.3"/>
  <pageSetup paperSize="9" scale="96" fitToHeight="0" orientation="landscape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2"/>
  <sheetViews>
    <sheetView zoomScale="120" zoomScaleNormal="120" workbookViewId="0">
      <selection sqref="A1:M22"/>
    </sheetView>
  </sheetViews>
  <sheetFormatPr baseColWidth="10" defaultColWidth="9.1640625" defaultRowHeight="15"/>
  <cols>
    <col min="1" max="1" width="22.1640625" style="6" bestFit="1" customWidth="1"/>
    <col min="2" max="2" width="9.5" style="3" bestFit="1" customWidth="1"/>
    <col min="3" max="3" width="10.5" style="3" bestFit="1" customWidth="1"/>
    <col min="4" max="4" width="9.33203125" style="3" bestFit="1" customWidth="1"/>
    <col min="5" max="5" width="11.5" style="3" customWidth="1"/>
    <col min="6" max="6" width="10.6640625" style="3" customWidth="1"/>
    <col min="7" max="12" width="9.33203125" style="3" bestFit="1" customWidth="1"/>
    <col min="13" max="13" width="11" style="3" customWidth="1"/>
    <col min="14" max="16384" width="9.1640625" style="3"/>
  </cols>
  <sheetData>
    <row r="1" spans="1:13" ht="27" customHeight="1">
      <c r="A1" s="783" t="s">
        <v>682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65" t="s">
        <v>147</v>
      </c>
      <c r="M1" s="6">
        <v>17</v>
      </c>
    </row>
    <row r="2" spans="1:13" s="7" customFormat="1" ht="16">
      <c r="A2" s="844" t="s">
        <v>582</v>
      </c>
      <c r="B2" s="16" t="s">
        <v>1</v>
      </c>
      <c r="C2" s="381">
        <f>'9_Пр-во'!D2</f>
        <v>2024</v>
      </c>
      <c r="D2" s="381">
        <f>'9_Пр-во'!E2</f>
        <v>2025</v>
      </c>
      <c r="E2" s="381">
        <f>'9_Пр-во'!F2</f>
        <v>2026</v>
      </c>
      <c r="F2" s="381">
        <f>'9_Пр-во'!G2</f>
        <v>2027</v>
      </c>
      <c r="G2" s="381">
        <f>'9_Пр-во'!H2</f>
        <v>2028</v>
      </c>
      <c r="H2" s="381">
        <f>'9_Пр-во'!I2</f>
        <v>2029</v>
      </c>
      <c r="I2" s="381">
        <f>'9_Пр-во'!J2</f>
        <v>2030</v>
      </c>
      <c r="J2" s="381">
        <f>'9_Пр-во'!K2</f>
        <v>2031</v>
      </c>
      <c r="K2" s="381">
        <f>'9_Пр-во'!L2</f>
        <v>2032</v>
      </c>
      <c r="L2" s="381">
        <f>'9_Пр-во'!M2</f>
        <v>2033</v>
      </c>
      <c r="M2" s="17" t="s">
        <v>3</v>
      </c>
    </row>
    <row r="3" spans="1:13" s="7" customFormat="1">
      <c r="A3" s="845"/>
      <c r="B3" s="16"/>
      <c r="C3" s="18">
        <v>1</v>
      </c>
      <c r="D3" s="18">
        <v>2</v>
      </c>
      <c r="E3" s="18">
        <v>3</v>
      </c>
      <c r="F3" s="18">
        <v>4</v>
      </c>
      <c r="G3" s="18">
        <v>5</v>
      </c>
      <c r="H3" s="18">
        <v>6</v>
      </c>
      <c r="I3" s="18">
        <v>7</v>
      </c>
      <c r="J3" s="18">
        <v>8</v>
      </c>
      <c r="K3" s="18">
        <v>9</v>
      </c>
      <c r="L3" s="18">
        <v>10</v>
      </c>
      <c r="M3" s="18">
        <f>L3</f>
        <v>10</v>
      </c>
    </row>
    <row r="4" spans="1:13" ht="16">
      <c r="A4" s="21" t="s">
        <v>19</v>
      </c>
      <c r="B4" s="22" t="s">
        <v>2</v>
      </c>
      <c r="C4" s="23">
        <f>'7_Выручка'!D33</f>
        <v>0</v>
      </c>
      <c r="D4" s="23">
        <f>'7_Выручка'!E33</f>
        <v>0</v>
      </c>
      <c r="E4" s="23">
        <f>'7_Выручка'!F33</f>
        <v>1549415.2887476301</v>
      </c>
      <c r="F4" s="23">
        <f>'7_Выручка'!G33</f>
        <v>3098830.5774952602</v>
      </c>
      <c r="G4" s="23">
        <f>'7_Выручка'!H33</f>
        <v>3098830.5774952602</v>
      </c>
      <c r="H4" s="23">
        <f>'7_Выручка'!I33</f>
        <v>3098830.5774952602</v>
      </c>
      <c r="I4" s="23">
        <f>'7_Выручка'!J33</f>
        <v>3098830.5774952602</v>
      </c>
      <c r="J4" s="23">
        <f>'7_Выручка'!K33</f>
        <v>3098830.5774952602</v>
      </c>
      <c r="K4" s="23">
        <f>'7_Выручка'!L33</f>
        <v>3098830.5774952602</v>
      </c>
      <c r="L4" s="23">
        <f>'7_Выручка'!M33</f>
        <v>3098830.5774952602</v>
      </c>
      <c r="M4" s="23">
        <f>SUM(C4:L4)</f>
        <v>23241229.33121445</v>
      </c>
    </row>
    <row r="5" spans="1:13" s="7" customFormat="1" ht="16">
      <c r="A5" s="19" t="s">
        <v>5</v>
      </c>
      <c r="B5" s="20"/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</row>
    <row r="6" spans="1:13" ht="16">
      <c r="A6" s="5" t="s">
        <v>95</v>
      </c>
      <c r="B6" s="2" t="s">
        <v>2</v>
      </c>
      <c r="C6" s="4">
        <f>'15_Пер. Расх_дин'!B3</f>
        <v>0</v>
      </c>
      <c r="D6" s="4">
        <f>'15_Пер. Расх_дин'!C3</f>
        <v>0</v>
      </c>
      <c r="E6" s="4">
        <f>'15_Пер. Расх_дин'!D3</f>
        <v>655203.20367591281</v>
      </c>
      <c r="F6" s="4">
        <f>'15_Пер. Расх_дин'!E3</f>
        <v>1309987.905850302</v>
      </c>
      <c r="G6" s="4">
        <f>'15_Пер. Расх_дин'!F3</f>
        <v>1309987.905850302</v>
      </c>
      <c r="H6" s="4">
        <f>'15_Пер. Расх_дин'!G3</f>
        <v>1309987.905850302</v>
      </c>
      <c r="I6" s="4">
        <f>'15_Пер. Расх_дин'!H3</f>
        <v>1309987.905850302</v>
      </c>
      <c r="J6" s="4">
        <f>'15_Пер. Расх_дин'!I3</f>
        <v>1309987.905850302</v>
      </c>
      <c r="K6" s="4">
        <f>'15_Пер. Расх_дин'!J3</f>
        <v>1309987.905850302</v>
      </c>
      <c r="L6" s="4">
        <f>'15_Пер. Расх_дин'!K3</f>
        <v>1309987.905850302</v>
      </c>
      <c r="M6" s="8">
        <f t="shared" ref="M6:M16" si="0">SUM(C6:L6)</f>
        <v>9825118.5446280278</v>
      </c>
    </row>
    <row r="7" spans="1:13" ht="16">
      <c r="A7" s="5" t="s">
        <v>6</v>
      </c>
      <c r="B7" s="2" t="s">
        <v>2</v>
      </c>
      <c r="C7" s="4">
        <v>0</v>
      </c>
      <c r="D7" s="4">
        <v>0</v>
      </c>
      <c r="E7" s="4">
        <f>F7*50%</f>
        <v>137318.59571999998</v>
      </c>
      <c r="F7" s="4">
        <f>'12_ФОТ'!V22/1000*12</f>
        <v>274637.19143999997</v>
      </c>
      <c r="G7" s="4">
        <f t="shared" ref="G7:L7" si="1">F7</f>
        <v>274637.19143999997</v>
      </c>
      <c r="H7" s="4">
        <f t="shared" si="1"/>
        <v>274637.19143999997</v>
      </c>
      <c r="I7" s="4">
        <f t="shared" si="1"/>
        <v>274637.19143999997</v>
      </c>
      <c r="J7" s="4">
        <f t="shared" si="1"/>
        <v>274637.19143999997</v>
      </c>
      <c r="K7" s="4">
        <f t="shared" si="1"/>
        <v>274637.19143999997</v>
      </c>
      <c r="L7" s="4">
        <f t="shared" si="1"/>
        <v>274637.19143999997</v>
      </c>
      <c r="M7" s="8">
        <f t="shared" si="0"/>
        <v>2059778.9357999999</v>
      </c>
    </row>
    <row r="8" spans="1:13" ht="16">
      <c r="A8" s="5" t="s">
        <v>584</v>
      </c>
      <c r="B8" s="2" t="s">
        <v>2</v>
      </c>
      <c r="C8" s="4">
        <f>'14_ПР_дин'!B7</f>
        <v>0</v>
      </c>
      <c r="D8" s="4">
        <f>'14_ПР_дин'!C7</f>
        <v>0</v>
      </c>
      <c r="E8" s="4">
        <f>'14_ПР_дин'!D7</f>
        <v>42067.450350337407</v>
      </c>
      <c r="F8" s="4">
        <f>'14_ПР_дин'!E7</f>
        <v>84134.900700674814</v>
      </c>
      <c r="G8" s="4">
        <f>'14_ПР_дин'!F7</f>
        <v>84134.900700674814</v>
      </c>
      <c r="H8" s="4">
        <f>'14_ПР_дин'!G7</f>
        <v>84134.900700674814</v>
      </c>
      <c r="I8" s="4">
        <f>'14_ПР_дин'!H7</f>
        <v>84134.900700674814</v>
      </c>
      <c r="J8" s="4">
        <f>'14_ПР_дин'!I7</f>
        <v>84134.900700674814</v>
      </c>
      <c r="K8" s="4">
        <f>'14_ПР_дин'!J7</f>
        <v>84134.900700674814</v>
      </c>
      <c r="L8" s="4">
        <f>'14_ПР_дин'!K7</f>
        <v>84134.900700674814</v>
      </c>
      <c r="M8" s="8">
        <f t="shared" si="0"/>
        <v>631011.75525506109</v>
      </c>
    </row>
    <row r="9" spans="1:13" ht="16">
      <c r="A9" s="19" t="s">
        <v>27</v>
      </c>
      <c r="B9" s="10" t="s">
        <v>2</v>
      </c>
      <c r="C9" s="25">
        <f t="shared" ref="C9:L9" si="2">SUM(C6:C8)</f>
        <v>0</v>
      </c>
      <c r="D9" s="25">
        <f t="shared" si="2"/>
        <v>0</v>
      </c>
      <c r="E9" s="25">
        <f t="shared" si="2"/>
        <v>834589.24974625022</v>
      </c>
      <c r="F9" s="25">
        <f t="shared" si="2"/>
        <v>1668759.9979909768</v>
      </c>
      <c r="G9" s="25">
        <f t="shared" si="2"/>
        <v>1668759.9979909768</v>
      </c>
      <c r="H9" s="25">
        <f t="shared" si="2"/>
        <v>1668759.9979909768</v>
      </c>
      <c r="I9" s="25">
        <f t="shared" si="2"/>
        <v>1668759.9979909768</v>
      </c>
      <c r="J9" s="25">
        <f t="shared" si="2"/>
        <v>1668759.9979909768</v>
      </c>
      <c r="K9" s="25">
        <f t="shared" si="2"/>
        <v>1668759.9979909768</v>
      </c>
      <c r="L9" s="25">
        <f t="shared" si="2"/>
        <v>1668759.9979909768</v>
      </c>
      <c r="M9" s="25">
        <f t="shared" si="0"/>
        <v>12515909.235683089</v>
      </c>
    </row>
    <row r="10" spans="1:13" ht="16">
      <c r="A10" s="21" t="s">
        <v>17</v>
      </c>
      <c r="B10" s="22" t="s">
        <v>2</v>
      </c>
      <c r="C10" s="23">
        <f t="shared" ref="C10:L10" si="3">C4-C9</f>
        <v>0</v>
      </c>
      <c r="D10" s="23">
        <f t="shared" si="3"/>
        <v>0</v>
      </c>
      <c r="E10" s="23">
        <f t="shared" si="3"/>
        <v>714826.03900137986</v>
      </c>
      <c r="F10" s="23">
        <f t="shared" si="3"/>
        <v>1430070.5795042834</v>
      </c>
      <c r="G10" s="23">
        <f t="shared" si="3"/>
        <v>1430070.5795042834</v>
      </c>
      <c r="H10" s="23">
        <f t="shared" si="3"/>
        <v>1430070.5795042834</v>
      </c>
      <c r="I10" s="23">
        <f t="shared" si="3"/>
        <v>1430070.5795042834</v>
      </c>
      <c r="J10" s="23">
        <f t="shared" si="3"/>
        <v>1430070.5795042834</v>
      </c>
      <c r="K10" s="23">
        <f t="shared" si="3"/>
        <v>1430070.5795042834</v>
      </c>
      <c r="L10" s="23">
        <f t="shared" si="3"/>
        <v>1430070.5795042834</v>
      </c>
      <c r="M10" s="23">
        <f t="shared" si="0"/>
        <v>10725320.095531363</v>
      </c>
    </row>
    <row r="11" spans="1:13" ht="32">
      <c r="A11" s="48" t="s">
        <v>624</v>
      </c>
      <c r="B11" s="63" t="s">
        <v>2</v>
      </c>
      <c r="C11" s="100">
        <f>'20-1_НДС'!B7</f>
        <v>0</v>
      </c>
      <c r="D11" s="100">
        <f>'20-1_НДС'!C7</f>
        <v>0</v>
      </c>
      <c r="E11" s="100">
        <f>'20-1_НДС'!D7</f>
        <v>1421856.4719487503</v>
      </c>
      <c r="F11" s="100">
        <f>'20-1_НДС'!E3</f>
        <v>0</v>
      </c>
      <c r="G11" s="100">
        <f>'20-1_НДС'!F7</f>
        <v>0</v>
      </c>
      <c r="H11" s="100">
        <f>'20-1_НДС'!G7</f>
        <v>0</v>
      </c>
      <c r="I11" s="100">
        <f>'20-1_НДС'!H7</f>
        <v>0</v>
      </c>
      <c r="J11" s="100">
        <f>'20-1_НДС'!I7</f>
        <v>0</v>
      </c>
      <c r="K11" s="100">
        <f>'20-1_НДС'!J7</f>
        <v>0</v>
      </c>
      <c r="L11" s="100">
        <f>'20-1_НДС'!K7</f>
        <v>0</v>
      </c>
      <c r="M11" s="100">
        <f t="shared" si="0"/>
        <v>1421856.4719487503</v>
      </c>
    </row>
    <row r="12" spans="1:13" ht="16">
      <c r="A12" s="26" t="s">
        <v>7</v>
      </c>
      <c r="B12" s="27" t="s">
        <v>2</v>
      </c>
      <c r="C12" s="28">
        <f>IF(C17&lt;0,0,(IF(C16&lt;0,0,C16*'20_Tax'!$C$3)))</f>
        <v>0</v>
      </c>
      <c r="D12" s="28">
        <f>IF(D17&lt;0,0,(IF(D16&lt;0,0,D16*'20_Tax'!$C$3)))</f>
        <v>0</v>
      </c>
      <c r="E12" s="28">
        <f>IF(E17&lt;0,0,(IF(E16&lt;0,0,E16*'20_Tax'!$C$3)))</f>
        <v>0</v>
      </c>
      <c r="F12" s="28">
        <f>(F16+F17)*'20_Tax'!$C$3</f>
        <v>8132.8027545524155</v>
      </c>
      <c r="G12" s="28">
        <f>IF(G17&lt;0,0,(IF(G16&lt;0,0,G16*'20_Tax'!$C$3)))</f>
        <v>64962.064359772485</v>
      </c>
      <c r="H12" s="28">
        <f>IF(H17&lt;0,0,(IF(H16&lt;0,0,H16*'20_Tax'!$C$3)))</f>
        <v>74353.264359772482</v>
      </c>
      <c r="I12" s="28">
        <f>IF(I17&lt;0,0,(IF(I16&lt;0,0,I16*'20_Tax'!$C$3)))</f>
        <v>84466.864359772488</v>
      </c>
      <c r="J12" s="28">
        <f>IF(J17&lt;0,0,(IF(J16&lt;0,0,J16*'20_Tax'!$C$3)))</f>
        <v>95406.064359772485</v>
      </c>
      <c r="K12" s="28">
        <f>IF(K17&lt;0,0,(IF(K16&lt;0,0,K16*'20_Tax'!$C$3)))</f>
        <v>107067.66435977249</v>
      </c>
      <c r="L12" s="28">
        <f>IF(L17&lt;0,0,(IF(L16&lt;0,0,L16*'20_Tax'!$C$3)))</f>
        <v>118876.65459977249</v>
      </c>
      <c r="M12" s="28">
        <f t="shared" si="0"/>
        <v>553265.37915318739</v>
      </c>
    </row>
    <row r="13" spans="1:13" ht="32">
      <c r="A13" s="21" t="s">
        <v>585</v>
      </c>
      <c r="B13" s="22" t="s">
        <v>2</v>
      </c>
      <c r="C13" s="23">
        <f>C10-C12+C11</f>
        <v>0</v>
      </c>
      <c r="D13" s="23">
        <f t="shared" ref="D13:M13" si="4">D10-D12+D11</f>
        <v>0</v>
      </c>
      <c r="E13" s="23">
        <f>E10-E12+E11</f>
        <v>2136682.5109501304</v>
      </c>
      <c r="F13" s="23">
        <f t="shared" si="4"/>
        <v>1421937.776749731</v>
      </c>
      <c r="G13" s="23">
        <f t="shared" si="4"/>
        <v>1365108.5151445109</v>
      </c>
      <c r="H13" s="23">
        <f t="shared" si="4"/>
        <v>1355717.3151445109</v>
      </c>
      <c r="I13" s="23">
        <f t="shared" si="4"/>
        <v>1345603.7151445108</v>
      </c>
      <c r="J13" s="23">
        <f t="shared" si="4"/>
        <v>1334664.5151445109</v>
      </c>
      <c r="K13" s="23">
        <f t="shared" si="4"/>
        <v>1323002.9151445108</v>
      </c>
      <c r="L13" s="23">
        <f t="shared" si="4"/>
        <v>1311193.9249045108</v>
      </c>
      <c r="M13" s="23">
        <f t="shared" si="4"/>
        <v>11593911.188326925</v>
      </c>
    </row>
    <row r="14" spans="1:13" ht="16">
      <c r="A14" s="5" t="s">
        <v>28</v>
      </c>
      <c r="B14" s="2" t="s">
        <v>2</v>
      </c>
      <c r="C14" s="4">
        <f>'16_Кредит'!C12</f>
        <v>159944.57073449064</v>
      </c>
      <c r="D14" s="4">
        <f>'16_Кредит'!D12</f>
        <v>319889.14146898128</v>
      </c>
      <c r="E14" s="4">
        <f>'16_Кредит'!E12</f>
        <v>653968.28293796256</v>
      </c>
      <c r="F14" s="4">
        <f>'16_Кредит'!F12</f>
        <v>527548.28293796256</v>
      </c>
      <c r="G14" s="4">
        <f>'16_Кредит'!G12</f>
        <v>449288.2829379625</v>
      </c>
      <c r="H14" s="4">
        <f>'16_Кредит'!H12</f>
        <v>371028.2829379625</v>
      </c>
      <c r="I14" s="4">
        <f>'16_Кредит'!I12</f>
        <v>286748.28293796256</v>
      </c>
      <c r="J14" s="4">
        <f>'16_Кредит'!J12</f>
        <v>195588.28293796253</v>
      </c>
      <c r="K14" s="4">
        <f>'16_Кредит'!K12</f>
        <v>98408.282937962547</v>
      </c>
      <c r="L14" s="4">
        <f>'16_Кредит'!L12</f>
        <v>3.0937962556257841E-2</v>
      </c>
      <c r="M14" s="4">
        <f t="shared" si="0"/>
        <v>3062411.7237071726</v>
      </c>
    </row>
    <row r="15" spans="1:13" ht="16">
      <c r="A15" s="31" t="s">
        <v>38</v>
      </c>
      <c r="B15" s="30"/>
      <c r="C15" s="32">
        <f>'22_Ам-ция'!D14</f>
        <v>0</v>
      </c>
      <c r="D15" s="32">
        <f>'22_Ам-ция'!E14</f>
        <v>0</v>
      </c>
      <c r="E15" s="32">
        <f>'22_Ам-ция'!F14</f>
        <v>439431.7602348834</v>
      </c>
      <c r="F15" s="32">
        <f>'22_Ам-ция'!G14</f>
        <v>439431.7602348834</v>
      </c>
      <c r="G15" s="32">
        <f>'22_Ам-ция'!H14</f>
        <v>439431.7602348834</v>
      </c>
      <c r="H15" s="32">
        <f>'22_Ам-ция'!I14</f>
        <v>439431.7602348834</v>
      </c>
      <c r="I15" s="32">
        <f>'22_Ам-ция'!J14</f>
        <v>439431.7602348834</v>
      </c>
      <c r="J15" s="32">
        <f>'22_Ам-ция'!K14</f>
        <v>439431.7602348834</v>
      </c>
      <c r="K15" s="32">
        <f>'22_Ам-ция'!L14</f>
        <v>439431.7602348834</v>
      </c>
      <c r="L15" s="32">
        <f>K15</f>
        <v>439431.7602348834</v>
      </c>
      <c r="M15" s="4">
        <f t="shared" si="0"/>
        <v>3515454.0818790677</v>
      </c>
    </row>
    <row r="16" spans="1:13" ht="16">
      <c r="A16" s="21" t="s">
        <v>39</v>
      </c>
      <c r="B16" s="22" t="s">
        <v>2</v>
      </c>
      <c r="C16" s="23">
        <f>C10-C14-C15</f>
        <v>-159944.57073449064</v>
      </c>
      <c r="D16" s="23">
        <f t="shared" ref="D16:L16" si="5">D10-D14-D15</f>
        <v>-319889.14146898128</v>
      </c>
      <c r="E16" s="23">
        <f t="shared" si="5"/>
        <v>-378574.00417146611</v>
      </c>
      <c r="F16" s="23">
        <f t="shared" si="5"/>
        <v>463090.53633143741</v>
      </c>
      <c r="G16" s="23">
        <f t="shared" si="5"/>
        <v>541350.53633143741</v>
      </c>
      <c r="H16" s="23">
        <f t="shared" si="5"/>
        <v>619610.53633143741</v>
      </c>
      <c r="I16" s="23">
        <f t="shared" si="5"/>
        <v>703890.53633143741</v>
      </c>
      <c r="J16" s="23">
        <f t="shared" si="5"/>
        <v>795050.53633143741</v>
      </c>
      <c r="K16" s="23">
        <f t="shared" si="5"/>
        <v>892230.53633143741</v>
      </c>
      <c r="L16" s="23">
        <f t="shared" si="5"/>
        <v>990638.78833143751</v>
      </c>
      <c r="M16" s="23">
        <f t="shared" si="0"/>
        <v>4147454.2899451242</v>
      </c>
    </row>
    <row r="17" spans="1:13" ht="17" thickBot="1">
      <c r="A17" s="112" t="s">
        <v>125</v>
      </c>
      <c r="B17" s="113" t="s">
        <v>2</v>
      </c>
      <c r="C17" s="113">
        <f>C16</f>
        <v>-159944.57073449064</v>
      </c>
      <c r="D17" s="113">
        <f>C17+D16</f>
        <v>-479833.71220347192</v>
      </c>
      <c r="E17" s="113">
        <f t="shared" ref="E17:L17" si="6">D17+E16</f>
        <v>-858407.71637493803</v>
      </c>
      <c r="F17" s="113">
        <f t="shared" si="6"/>
        <v>-395317.18004350062</v>
      </c>
      <c r="G17" s="113">
        <f t="shared" si="6"/>
        <v>146033.3562879368</v>
      </c>
      <c r="H17" s="113">
        <f t="shared" si="6"/>
        <v>765643.89261937421</v>
      </c>
      <c r="I17" s="113">
        <f t="shared" si="6"/>
        <v>1469534.4289508117</v>
      </c>
      <c r="J17" s="113">
        <f t="shared" si="6"/>
        <v>2264584.9652822493</v>
      </c>
      <c r="K17" s="113">
        <f t="shared" si="6"/>
        <v>3156815.5016136868</v>
      </c>
      <c r="L17" s="113">
        <f t="shared" si="6"/>
        <v>4147454.2899451242</v>
      </c>
      <c r="M17" s="113">
        <f>L17</f>
        <v>4147454.2899451242</v>
      </c>
    </row>
    <row r="18" spans="1:13" ht="48">
      <c r="A18" s="114" t="s">
        <v>146</v>
      </c>
      <c r="B18" s="115" t="s">
        <v>2</v>
      </c>
      <c r="C18" s="115">
        <f>C13-C14</f>
        <v>-159944.57073449064</v>
      </c>
      <c r="D18" s="115">
        <f t="shared" ref="D18:L18" si="7">D13-D14</f>
        <v>-319889.14146898128</v>
      </c>
      <c r="E18" s="115">
        <f t="shared" si="7"/>
        <v>1482714.2280121678</v>
      </c>
      <c r="F18" s="115">
        <f>F13-F14</f>
        <v>894389.49381176848</v>
      </c>
      <c r="G18" s="115">
        <f t="shared" si="7"/>
        <v>915820.23220654833</v>
      </c>
      <c r="H18" s="115">
        <f t="shared" si="7"/>
        <v>984689.03220654838</v>
      </c>
      <c r="I18" s="115">
        <f t="shared" si="7"/>
        <v>1058855.4322065483</v>
      </c>
      <c r="J18" s="115">
        <f t="shared" si="7"/>
        <v>1139076.2322065483</v>
      </c>
      <c r="K18" s="115">
        <f t="shared" si="7"/>
        <v>1224594.6322065482</v>
      </c>
      <c r="L18" s="115">
        <f t="shared" si="7"/>
        <v>1311193.8939665484</v>
      </c>
      <c r="M18" s="116">
        <f>SUM(C18:L18)</f>
        <v>8531499.4646197557</v>
      </c>
    </row>
    <row r="19" spans="1:13" ht="48">
      <c r="A19" s="117" t="s">
        <v>143</v>
      </c>
      <c r="B19" s="2" t="s">
        <v>2</v>
      </c>
      <c r="C19" s="118">
        <f>-('18_График'!B9-'18_График'!B8)</f>
        <v>-3554641.1798718753</v>
      </c>
      <c r="D19" s="118">
        <f>-('18_График'!C9-'18_График'!C8)</f>
        <v>-3554641.1798718753</v>
      </c>
      <c r="E19" s="118">
        <f>-('18_График'!D9-'18_График'!D8)</f>
        <v>0</v>
      </c>
      <c r="F19" s="118">
        <f>-('18_График'!E9-'18_График'!E8)</f>
        <v>0</v>
      </c>
      <c r="G19" s="118">
        <f>-('18_График'!F9-'18_График'!F8)</f>
        <v>0</v>
      </c>
      <c r="H19" s="118">
        <f>-('18_График'!G9-'18_График'!G8)</f>
        <v>0</v>
      </c>
      <c r="I19" s="118">
        <f>-('18_График'!H9-'18_График'!H8)</f>
        <v>0</v>
      </c>
      <c r="J19" s="118">
        <f>-('18_График'!I9-'18_График'!I8)</f>
        <v>0</v>
      </c>
      <c r="K19" s="118">
        <f>-('18_График'!J9-'18_График'!J8)</f>
        <v>0</v>
      </c>
      <c r="L19" s="118">
        <f>-('18_График'!K9-'18_График'!K8)</f>
        <v>0</v>
      </c>
      <c r="M19" s="119"/>
    </row>
    <row r="20" spans="1:13" ht="32">
      <c r="A20" s="117" t="s">
        <v>144</v>
      </c>
      <c r="B20" s="2" t="s">
        <v>2</v>
      </c>
      <c r="C20" s="4">
        <f>'16_Кредит'!C9-'16_Кредит'!C10</f>
        <v>3719641.1798718753</v>
      </c>
      <c r="D20" s="4">
        <f>'16_Кредит'!D9-'16_Кредит'!D10</f>
        <v>3884641.1798718753</v>
      </c>
      <c r="E20" s="4">
        <f>'16_Кредит'!E9-'16_Кредит'!E10</f>
        <v>-1470000</v>
      </c>
      <c r="F20" s="4">
        <f>'16_Кредит'!F9-'16_Кредит'!F10</f>
        <v>-910000</v>
      </c>
      <c r="G20" s="4">
        <f>'16_Кредит'!G9-'16_Кредит'!G10</f>
        <v>-910000</v>
      </c>
      <c r="H20" s="4">
        <f>'16_Кредит'!H9-'16_Кредит'!H10</f>
        <v>-980000</v>
      </c>
      <c r="I20" s="4">
        <f>'16_Кредит'!I9-'16_Кредит'!I10</f>
        <v>-1060000</v>
      </c>
      <c r="J20" s="4">
        <f>'16_Кредит'!J9-'16_Кредит'!J10</f>
        <v>-1130000</v>
      </c>
      <c r="K20" s="4">
        <f>'16_Кредит'!K9-'16_Кредит'!K10</f>
        <v>-1144282</v>
      </c>
      <c r="L20" s="4">
        <f>'16_Кредит'!L9-'16_Кредит'!L10</f>
        <v>0</v>
      </c>
      <c r="M20" s="119"/>
    </row>
    <row r="21" spans="1:13" ht="16">
      <c r="A21" s="117" t="s">
        <v>142</v>
      </c>
      <c r="B21" s="2" t="s">
        <v>2</v>
      </c>
      <c r="C21" s="4">
        <f>C18+C19+C20</f>
        <v>5055.4292655093595</v>
      </c>
      <c r="D21" s="4">
        <f>C21+D18+D19+D20</f>
        <v>15166.287796528079</v>
      </c>
      <c r="E21" s="4">
        <f t="shared" ref="E21:L21" si="8">D21+E18+E19+E20</f>
        <v>27880.515808695927</v>
      </c>
      <c r="F21" s="4">
        <f t="shared" si="8"/>
        <v>12270.009620464407</v>
      </c>
      <c r="G21" s="4">
        <f t="shared" si="8"/>
        <v>18090.241827012738</v>
      </c>
      <c r="H21" s="4">
        <f t="shared" si="8"/>
        <v>22779.274033561116</v>
      </c>
      <c r="I21" s="4">
        <f t="shared" si="8"/>
        <v>21634.706240109401</v>
      </c>
      <c r="J21" s="4">
        <f t="shared" si="8"/>
        <v>30710.938446657732</v>
      </c>
      <c r="K21" s="4">
        <f t="shared" si="8"/>
        <v>111023.57065320597</v>
      </c>
      <c r="L21" s="4">
        <f t="shared" si="8"/>
        <v>1422217.4646197543</v>
      </c>
      <c r="M21" s="119"/>
    </row>
    <row r="22" spans="1:13" ht="17" thickBot="1">
      <c r="A22" s="120" t="s">
        <v>145</v>
      </c>
      <c r="B22" s="121" t="s">
        <v>2</v>
      </c>
      <c r="C22" s="121">
        <v>0</v>
      </c>
      <c r="D22" s="121">
        <v>0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2"/>
    </row>
  </sheetData>
  <mergeCells count="2">
    <mergeCell ref="A2:A3"/>
    <mergeCell ref="A1:K1"/>
  </mergeCells>
  <printOptions headings="1"/>
  <pageMargins left="0.31496062992125984" right="0.31496062992125984" top="0.35433070866141736" bottom="0.35433070866141736" header="0.31496062992125984" footer="0.31496062992125984"/>
  <pageSetup paperSize="9" fitToWidth="0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0"/>
  <sheetViews>
    <sheetView zoomScale="120" zoomScaleNormal="120" workbookViewId="0">
      <selection activeCell="K20" sqref="K20"/>
    </sheetView>
  </sheetViews>
  <sheetFormatPr baseColWidth="10" defaultColWidth="9.1640625" defaultRowHeight="15"/>
  <cols>
    <col min="1" max="1" width="22.5" style="6" bestFit="1" customWidth="1"/>
    <col min="2" max="3" width="9.33203125" style="3" customWidth="1"/>
    <col min="4" max="4" width="10.33203125" style="3" customWidth="1"/>
    <col min="5" max="5" width="12.5" style="3" customWidth="1"/>
    <col min="6" max="6" width="9.83203125" style="3" customWidth="1"/>
    <col min="7" max="7" width="10.5" style="3" customWidth="1"/>
    <col min="8" max="8" width="10.1640625" style="3" customWidth="1"/>
    <col min="9" max="9" width="10" style="3" customWidth="1"/>
    <col min="10" max="10" width="10.33203125" style="3" customWidth="1"/>
    <col min="11" max="11" width="9.5" style="3" customWidth="1"/>
    <col min="12" max="16384" width="9.1640625" style="3"/>
  </cols>
  <sheetData>
    <row r="1" spans="1:12" ht="31" customHeight="1">
      <c r="A1" s="783" t="s">
        <v>586</v>
      </c>
      <c r="B1" s="783"/>
      <c r="C1" s="783"/>
      <c r="D1" s="783"/>
      <c r="E1" s="783"/>
      <c r="F1" s="783"/>
      <c r="G1" s="783"/>
      <c r="H1" s="783"/>
      <c r="I1" s="783"/>
      <c r="J1" s="783"/>
      <c r="K1" s="3" t="s">
        <v>147</v>
      </c>
      <c r="L1" s="6">
        <v>18</v>
      </c>
    </row>
    <row r="2" spans="1:12" ht="16">
      <c r="A2" s="48" t="s">
        <v>133</v>
      </c>
      <c r="B2" s="375">
        <f>'9_Пр-во'!D2</f>
        <v>2024</v>
      </c>
      <c r="C2" s="375">
        <f>'9_Пр-во'!E2</f>
        <v>2025</v>
      </c>
      <c r="D2" s="375">
        <f>'9_Пр-во'!F2</f>
        <v>2026</v>
      </c>
      <c r="E2" s="375">
        <f>'9_Пр-во'!G2</f>
        <v>2027</v>
      </c>
      <c r="F2" s="375">
        <f>'9_Пр-во'!H2</f>
        <v>2028</v>
      </c>
      <c r="G2" s="375">
        <f>'9_Пр-во'!I2</f>
        <v>2029</v>
      </c>
      <c r="H2" s="375">
        <f>'9_Пр-во'!J2</f>
        <v>2030</v>
      </c>
      <c r="I2" s="375">
        <f>'9_Пр-во'!K2</f>
        <v>2031</v>
      </c>
      <c r="J2" s="375">
        <f>'9_Пр-во'!L2</f>
        <v>2032</v>
      </c>
      <c r="K2" s="375">
        <f>'9_Пр-во'!M2</f>
        <v>2033</v>
      </c>
      <c r="L2" s="63" t="s">
        <v>138</v>
      </c>
    </row>
    <row r="3" spans="1:12" ht="16">
      <c r="A3" s="31" t="s">
        <v>134</v>
      </c>
      <c r="B3" s="846">
        <f>'2_Бюджет'!$B$7*50%*1000</f>
        <v>3554641.1798718753</v>
      </c>
      <c r="C3" s="846">
        <f>B3</f>
        <v>3554641.1798718753</v>
      </c>
      <c r="D3" s="32"/>
      <c r="E3" s="32"/>
      <c r="F3" s="32"/>
      <c r="G3" s="32"/>
      <c r="H3" s="32"/>
      <c r="I3" s="32"/>
      <c r="J3" s="32"/>
      <c r="K3" s="32"/>
      <c r="L3" s="51">
        <f t="shared" ref="L3:L9" si="0">SUM(B3:K3)</f>
        <v>7109282.3597437507</v>
      </c>
    </row>
    <row r="4" spans="1:12" ht="16">
      <c r="A4" s="31" t="s">
        <v>135</v>
      </c>
      <c r="B4" s="847"/>
      <c r="C4" s="847"/>
      <c r="D4" s="32"/>
      <c r="E4" s="32"/>
      <c r="F4" s="32"/>
      <c r="G4" s="32"/>
      <c r="H4" s="32"/>
      <c r="I4" s="32"/>
      <c r="J4" s="32"/>
      <c r="K4" s="32"/>
      <c r="L4" s="51">
        <f t="shared" si="0"/>
        <v>0</v>
      </c>
    </row>
    <row r="5" spans="1:12" ht="16">
      <c r="A5" s="31" t="s">
        <v>136</v>
      </c>
      <c r="B5" s="847"/>
      <c r="C5" s="847"/>
      <c r="D5" s="32"/>
      <c r="E5" s="32"/>
      <c r="F5" s="32"/>
      <c r="G5" s="32"/>
      <c r="H5" s="32"/>
      <c r="I5" s="32"/>
      <c r="J5" s="32"/>
      <c r="K5" s="32"/>
      <c r="L5" s="51">
        <f t="shared" si="0"/>
        <v>0</v>
      </c>
    </row>
    <row r="6" spans="1:12" ht="16">
      <c r="A6" s="31" t="s">
        <v>137</v>
      </c>
      <c r="B6" s="847"/>
      <c r="C6" s="847"/>
      <c r="D6" s="32"/>
      <c r="E6" s="32"/>
      <c r="F6" s="32"/>
      <c r="G6" s="32"/>
      <c r="H6" s="32"/>
      <c r="I6" s="32"/>
      <c r="J6" s="32"/>
      <c r="K6" s="32"/>
      <c r="L6" s="51">
        <f t="shared" si="0"/>
        <v>0</v>
      </c>
    </row>
    <row r="7" spans="1:12" ht="16">
      <c r="A7" s="31" t="s">
        <v>126</v>
      </c>
      <c r="B7" s="848"/>
      <c r="C7" s="848"/>
      <c r="D7" s="32"/>
      <c r="E7" s="32"/>
      <c r="F7" s="32"/>
      <c r="G7" s="32"/>
      <c r="H7" s="32"/>
      <c r="I7" s="32"/>
      <c r="J7" s="32"/>
      <c r="K7" s="32"/>
      <c r="L7" s="51">
        <f t="shared" si="0"/>
        <v>0</v>
      </c>
    </row>
    <row r="8" spans="1:12" ht="32">
      <c r="A8" s="31" t="s">
        <v>139</v>
      </c>
      <c r="B8" s="32"/>
      <c r="C8" s="32"/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51">
        <f t="shared" si="0"/>
        <v>0</v>
      </c>
    </row>
    <row r="9" spans="1:12" ht="16">
      <c r="A9" s="101" t="s">
        <v>3</v>
      </c>
      <c r="B9" s="102">
        <f>SUM(B3:B8)</f>
        <v>3554641.1798718753</v>
      </c>
      <c r="C9" s="102">
        <f t="shared" ref="C9:K9" si="1">SUM(C3:C8)</f>
        <v>3554641.1798718753</v>
      </c>
      <c r="D9" s="102">
        <f>SUM(D3:D8)</f>
        <v>0</v>
      </c>
      <c r="E9" s="102">
        <f t="shared" si="1"/>
        <v>0</v>
      </c>
      <c r="F9" s="102">
        <f t="shared" si="1"/>
        <v>0</v>
      </c>
      <c r="G9" s="102">
        <f t="shared" si="1"/>
        <v>0</v>
      </c>
      <c r="H9" s="102">
        <f t="shared" si="1"/>
        <v>0</v>
      </c>
      <c r="I9" s="102">
        <f t="shared" si="1"/>
        <v>0</v>
      </c>
      <c r="J9" s="102">
        <f t="shared" si="1"/>
        <v>0</v>
      </c>
      <c r="K9" s="102">
        <f t="shared" si="1"/>
        <v>0</v>
      </c>
      <c r="L9" s="102">
        <f t="shared" si="0"/>
        <v>7109282.3597437507</v>
      </c>
    </row>
    <row r="10" spans="1:12" ht="25" customHeight="1">
      <c r="A10" s="407" t="s">
        <v>142</v>
      </c>
      <c r="B10" s="408">
        <f>'17_ПДДС'!C21</f>
        <v>5055.4292655093595</v>
      </c>
      <c r="C10" s="408">
        <f>'17_ПДДС'!D21</f>
        <v>15166.287796528079</v>
      </c>
      <c r="D10" s="408">
        <f>'17_ПДДС'!E21</f>
        <v>27880.515808695927</v>
      </c>
      <c r="E10" s="408">
        <f>'17_ПДДС'!F21</f>
        <v>12270.009620464407</v>
      </c>
      <c r="F10" s="408">
        <f>'17_ПДДС'!G21</f>
        <v>18090.241827012738</v>
      </c>
      <c r="G10" s="408">
        <f>'17_ПДДС'!H21</f>
        <v>22779.274033561116</v>
      </c>
      <c r="H10" s="408">
        <f>'17_ПДДС'!I21</f>
        <v>21634.706240109401</v>
      </c>
      <c r="I10" s="408">
        <f>'17_ПДДС'!J21</f>
        <v>30710.938446657732</v>
      </c>
      <c r="J10" s="408">
        <f>'17_ПДДС'!K21</f>
        <v>111023.57065320597</v>
      </c>
      <c r="K10" s="408">
        <f>'17_ПДДС'!L21</f>
        <v>1422217.4646197543</v>
      </c>
    </row>
  </sheetData>
  <mergeCells count="3">
    <mergeCell ref="A1:J1"/>
    <mergeCell ref="B3:B7"/>
    <mergeCell ref="C3:C7"/>
  </mergeCells>
  <pageMargins left="0.7" right="0.7" top="0.75" bottom="0.75" header="0.3" footer="0.3"/>
  <pageSetup paperSize="9" orientation="landscape" horizontalDpi="0" verticalDpi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W15"/>
  <sheetViews>
    <sheetView zoomScale="120" zoomScaleNormal="120" workbookViewId="0">
      <selection sqref="A1:L15"/>
    </sheetView>
  </sheetViews>
  <sheetFormatPr baseColWidth="10" defaultColWidth="9.1640625" defaultRowHeight="15"/>
  <cols>
    <col min="1" max="1" width="21.5" style="3" customWidth="1"/>
    <col min="2" max="2" width="12.1640625" style="3" bestFit="1" customWidth="1"/>
    <col min="3" max="3" width="9.33203125" style="3" bestFit="1" customWidth="1"/>
    <col min="4" max="4" width="10.83203125" style="3" customWidth="1"/>
    <col min="5" max="5" width="9.83203125" style="3" customWidth="1"/>
    <col min="6" max="6" width="8.83203125" style="3" customWidth="1"/>
    <col min="7" max="7" width="8.5" style="3" customWidth="1"/>
    <col min="8" max="9" width="9.5" style="3" customWidth="1"/>
    <col min="10" max="10" width="9.1640625" style="3" customWidth="1"/>
    <col min="11" max="11" width="8.83203125" style="3" customWidth="1"/>
    <col min="12" max="12" width="9.1640625" style="3" customWidth="1"/>
    <col min="13" max="22" width="8.83203125" style="3" bestFit="1" customWidth="1"/>
    <col min="23" max="16384" width="9.1640625" style="3"/>
  </cols>
  <sheetData>
    <row r="1" spans="1:23" ht="19" customHeight="1">
      <c r="A1" s="795" t="s">
        <v>634</v>
      </c>
      <c r="B1" s="795"/>
      <c r="C1" s="795"/>
      <c r="D1" s="795"/>
      <c r="E1" s="795"/>
      <c r="F1" s="795"/>
      <c r="G1" s="795"/>
      <c r="H1" s="795"/>
      <c r="I1" s="795"/>
      <c r="J1" s="795"/>
      <c r="K1" s="751" t="s">
        <v>147</v>
      </c>
      <c r="L1" s="752">
        <v>19</v>
      </c>
    </row>
    <row r="2" spans="1:23" ht="16">
      <c r="A2" s="146" t="s">
        <v>31</v>
      </c>
      <c r="B2" s="146" t="s">
        <v>32</v>
      </c>
    </row>
    <row r="3" spans="1:23" ht="48">
      <c r="A3" s="5" t="s">
        <v>664</v>
      </c>
      <c r="B3" s="409">
        <f>'2_Бюджет'!B7*1000</f>
        <v>7109282.3597437507</v>
      </c>
    </row>
    <row r="4" spans="1:23" ht="16">
      <c r="A4" s="5" t="s">
        <v>665</v>
      </c>
      <c r="B4" s="4">
        <f>SUM(C15:L15)</f>
        <v>850116.82215963886</v>
      </c>
    </row>
    <row r="5" spans="1:23" ht="16">
      <c r="A5" s="5" t="s">
        <v>30</v>
      </c>
      <c r="B5" s="182">
        <f>XIRR(C13:L13,C12:L12)</f>
        <v>0.11654092669486998</v>
      </c>
    </row>
    <row r="6" spans="1:23" ht="32">
      <c r="A6" s="5" t="s">
        <v>667</v>
      </c>
      <c r="B6" s="4">
        <f>SUM('17_ПДДС'!C16:L16)</f>
        <v>4147454.2899451242</v>
      </c>
    </row>
    <row r="7" spans="1:23" ht="29" customHeight="1">
      <c r="A7" s="5" t="s">
        <v>636</v>
      </c>
      <c r="B7" s="127" t="s">
        <v>1092</v>
      </c>
    </row>
    <row r="8" spans="1:23" ht="32">
      <c r="A8" s="5" t="s">
        <v>637</v>
      </c>
      <c r="B8" s="127" t="s">
        <v>1214</v>
      </c>
    </row>
    <row r="9" spans="1:23" ht="32">
      <c r="A9" s="5" t="s">
        <v>33</v>
      </c>
      <c r="B9" s="123">
        <f>'16_Кредит'!B3</f>
        <v>8.5999999999999993E-2</v>
      </c>
    </row>
    <row r="10" spans="1:23" ht="32">
      <c r="A10" s="412" t="s">
        <v>34</v>
      </c>
      <c r="B10" s="410">
        <f>B9/4</f>
        <v>2.1499999999999998E-2</v>
      </c>
    </row>
    <row r="11" spans="1:23">
      <c r="A11" s="5"/>
      <c r="B11" s="2">
        <v>0</v>
      </c>
      <c r="C11" s="4">
        <f>'17_ПДДС'!C3</f>
        <v>1</v>
      </c>
      <c r="D11" s="4">
        <f>'17_ПДДС'!D3</f>
        <v>2</v>
      </c>
      <c r="E11" s="4">
        <f>'17_ПДДС'!E3</f>
        <v>3</v>
      </c>
      <c r="F11" s="4">
        <f>'17_ПДДС'!F3</f>
        <v>4</v>
      </c>
      <c r="G11" s="4">
        <f>'17_ПДДС'!G3</f>
        <v>5</v>
      </c>
      <c r="H11" s="4">
        <f>'17_ПДДС'!H3</f>
        <v>6</v>
      </c>
      <c r="I11" s="4">
        <f>'17_ПДДС'!I3</f>
        <v>7</v>
      </c>
      <c r="J11" s="4">
        <f>'17_ПДДС'!J3</f>
        <v>8</v>
      </c>
      <c r="K11" s="4">
        <f>'17_ПДДС'!K3</f>
        <v>9</v>
      </c>
      <c r="L11" s="4">
        <f>'17_ПДДС'!L3</f>
        <v>10</v>
      </c>
      <c r="M11" s="4">
        <v>11</v>
      </c>
      <c r="N11" s="4">
        <v>12</v>
      </c>
      <c r="O11" s="4">
        <v>13</v>
      </c>
      <c r="P11" s="4">
        <v>14</v>
      </c>
      <c r="Q11" s="4">
        <v>15</v>
      </c>
      <c r="R11" s="4">
        <v>16</v>
      </c>
      <c r="S11" s="4">
        <v>17</v>
      </c>
      <c r="T11" s="4">
        <v>18</v>
      </c>
      <c r="U11" s="4">
        <v>19</v>
      </c>
      <c r="V11" s="4">
        <v>20</v>
      </c>
      <c r="W11" s="402"/>
    </row>
    <row r="12" spans="1:23" ht="16">
      <c r="A12" s="5" t="s">
        <v>635</v>
      </c>
      <c r="B12" s="411">
        <v>45108</v>
      </c>
      <c r="C12" s="411">
        <v>45292</v>
      </c>
      <c r="D12" s="411">
        <v>45658</v>
      </c>
      <c r="E12" s="411">
        <v>46023</v>
      </c>
      <c r="F12" s="411">
        <v>46388</v>
      </c>
      <c r="G12" s="411">
        <v>46753</v>
      </c>
      <c r="H12" s="411">
        <v>47119</v>
      </c>
      <c r="I12" s="411">
        <v>47484</v>
      </c>
      <c r="J12" s="411">
        <v>47849</v>
      </c>
      <c r="K12" s="411">
        <v>48214</v>
      </c>
      <c r="L12" s="411">
        <v>48580</v>
      </c>
      <c r="M12" s="411">
        <v>48945</v>
      </c>
      <c r="N12" s="411">
        <v>49310</v>
      </c>
      <c r="O12" s="411">
        <v>49675</v>
      </c>
      <c r="P12" s="411">
        <v>50041</v>
      </c>
      <c r="Q12" s="411">
        <v>50406</v>
      </c>
      <c r="R12" s="411">
        <v>50771</v>
      </c>
      <c r="S12" s="411">
        <v>51136</v>
      </c>
      <c r="T12" s="411">
        <v>51502</v>
      </c>
      <c r="U12" s="411">
        <v>51867</v>
      </c>
      <c r="V12" s="411">
        <v>52232</v>
      </c>
    </row>
    <row r="13" spans="1:23" ht="16">
      <c r="A13" s="140" t="s">
        <v>35</v>
      </c>
      <c r="B13" s="4">
        <v>0</v>
      </c>
      <c r="C13" s="4">
        <f>-'18_График'!B3</f>
        <v>-3554641.1798718753</v>
      </c>
      <c r="D13" s="4">
        <f>-'18_График'!C3</f>
        <v>-3554641.1798718753</v>
      </c>
      <c r="E13" s="4">
        <f>'17_ПДДС'!E13</f>
        <v>2136682.5109501304</v>
      </c>
      <c r="F13" s="4">
        <f>'17_ПДДС'!F13</f>
        <v>1421937.776749731</v>
      </c>
      <c r="G13" s="4">
        <f>'17_ПДДС'!G13</f>
        <v>1365108.5151445109</v>
      </c>
      <c r="H13" s="4">
        <f>'17_ПДДС'!H13</f>
        <v>1355717.3151445109</v>
      </c>
      <c r="I13" s="4">
        <f>'17_ПДДС'!I13</f>
        <v>1345603.7151445108</v>
      </c>
      <c r="J13" s="4">
        <f>'17_ПДДС'!J13</f>
        <v>1334664.5151445109</v>
      </c>
      <c r="K13" s="4">
        <f>'17_ПДДС'!K13</f>
        <v>1323002.9151445108</v>
      </c>
      <c r="L13" s="4">
        <f>'17_ПДДС'!L13</f>
        <v>1311193.9249045108</v>
      </c>
      <c r="M13" s="4">
        <f t="shared" ref="M13:V13" si="0">L13</f>
        <v>1311193.9249045108</v>
      </c>
      <c r="N13" s="4">
        <f t="shared" si="0"/>
        <v>1311193.9249045108</v>
      </c>
      <c r="O13" s="4">
        <f t="shared" si="0"/>
        <v>1311193.9249045108</v>
      </c>
      <c r="P13" s="4">
        <f t="shared" si="0"/>
        <v>1311193.9249045108</v>
      </c>
      <c r="Q13" s="4">
        <f t="shared" si="0"/>
        <v>1311193.9249045108</v>
      </c>
      <c r="R13" s="4">
        <f t="shared" si="0"/>
        <v>1311193.9249045108</v>
      </c>
      <c r="S13" s="4">
        <f t="shared" si="0"/>
        <v>1311193.9249045108</v>
      </c>
      <c r="T13" s="4">
        <f t="shared" si="0"/>
        <v>1311193.9249045108</v>
      </c>
      <c r="U13" s="4">
        <f t="shared" si="0"/>
        <v>1311193.9249045108</v>
      </c>
      <c r="V13" s="4">
        <f t="shared" si="0"/>
        <v>1311193.9249045108</v>
      </c>
    </row>
    <row r="14" spans="1:23" ht="16">
      <c r="A14" s="31" t="s">
        <v>663</v>
      </c>
      <c r="B14" s="429">
        <v>1</v>
      </c>
      <c r="C14" s="43">
        <f>(1+$B$9)^(C11-1)</f>
        <v>1</v>
      </c>
      <c r="D14" s="43">
        <f t="shared" ref="D14:V14" si="1">(1+$B$9)^(D11-1)</f>
        <v>1.0860000000000001</v>
      </c>
      <c r="E14" s="43">
        <f t="shared" si="1"/>
        <v>1.1793960000000001</v>
      </c>
      <c r="F14" s="43">
        <f t="shared" si="1"/>
        <v>1.2808240560000002</v>
      </c>
      <c r="G14" s="43">
        <f t="shared" si="1"/>
        <v>1.3909749248160002</v>
      </c>
      <c r="H14" s="43">
        <f t="shared" si="1"/>
        <v>1.5105987683501763</v>
      </c>
      <c r="I14" s="43">
        <f t="shared" si="1"/>
        <v>1.6405102624282915</v>
      </c>
      <c r="J14" s="43">
        <f t="shared" si="1"/>
        <v>1.7815941449971247</v>
      </c>
      <c r="K14" s="43">
        <f t="shared" si="1"/>
        <v>1.9348112414668772</v>
      </c>
      <c r="L14" s="43">
        <f t="shared" si="1"/>
        <v>2.1012050082330287</v>
      </c>
      <c r="M14" s="43">
        <f t="shared" si="1"/>
        <v>2.2819086389410694</v>
      </c>
      <c r="N14" s="43">
        <f t="shared" si="1"/>
        <v>2.4781527818900013</v>
      </c>
      <c r="O14" s="43">
        <f t="shared" si="1"/>
        <v>2.6912739211325416</v>
      </c>
      <c r="P14" s="43">
        <f t="shared" si="1"/>
        <v>2.9227234783499401</v>
      </c>
      <c r="Q14" s="43">
        <f t="shared" si="1"/>
        <v>3.1740776974880349</v>
      </c>
      <c r="R14" s="43">
        <f t="shared" si="1"/>
        <v>3.4470483794720064</v>
      </c>
      <c r="S14" s="43">
        <f t="shared" si="1"/>
        <v>3.7434945401065987</v>
      </c>
      <c r="T14" s="43">
        <f t="shared" si="1"/>
        <v>4.0654350705557665</v>
      </c>
      <c r="U14" s="43">
        <f t="shared" si="1"/>
        <v>4.4150624866235626</v>
      </c>
      <c r="V14" s="43">
        <f t="shared" si="1"/>
        <v>4.7947578604731893</v>
      </c>
    </row>
    <row r="15" spans="1:23" ht="32">
      <c r="A15" s="31" t="s">
        <v>666</v>
      </c>
      <c r="B15" s="32">
        <f>B13/B14</f>
        <v>0</v>
      </c>
      <c r="C15" s="32">
        <f t="shared" ref="C15:V15" si="2">C13/C14</f>
        <v>-3554641.1798718753</v>
      </c>
      <c r="D15" s="32">
        <f t="shared" si="2"/>
        <v>-3273150.257708909</v>
      </c>
      <c r="E15" s="32">
        <f t="shared" si="2"/>
        <v>1811675.2226988478</v>
      </c>
      <c r="F15" s="32">
        <f t="shared" si="2"/>
        <v>1110174.164896955</v>
      </c>
      <c r="G15" s="32">
        <f t="shared" si="2"/>
        <v>981404.11504908267</v>
      </c>
      <c r="H15" s="32">
        <f t="shared" si="2"/>
        <v>897470.1578932032</v>
      </c>
      <c r="I15" s="32">
        <f t="shared" si="2"/>
        <v>820234.86592076637</v>
      </c>
      <c r="J15" s="32">
        <f t="shared" si="2"/>
        <v>749140.60471761646</v>
      </c>
      <c r="K15" s="32">
        <f t="shared" si="2"/>
        <v>683789.14014448051</v>
      </c>
      <c r="L15" s="32">
        <f t="shared" si="2"/>
        <v>624019.98841947189</v>
      </c>
      <c r="M15" s="32">
        <f t="shared" si="2"/>
        <v>574604.04090190772</v>
      </c>
      <c r="N15" s="32">
        <f t="shared" si="2"/>
        <v>529101.32679733681</v>
      </c>
      <c r="O15" s="32">
        <f t="shared" si="2"/>
        <v>487201.95837692148</v>
      </c>
      <c r="P15" s="32">
        <f t="shared" si="2"/>
        <v>448620.58782405296</v>
      </c>
      <c r="Q15" s="32">
        <f t="shared" si="2"/>
        <v>413094.46392638393</v>
      </c>
      <c r="R15" s="32">
        <f t="shared" si="2"/>
        <v>380381.64265781204</v>
      </c>
      <c r="S15" s="32">
        <f t="shared" si="2"/>
        <v>350259.33946391538</v>
      </c>
      <c r="T15" s="32">
        <f t="shared" si="2"/>
        <v>322522.41202938795</v>
      </c>
      <c r="U15" s="32">
        <f t="shared" si="2"/>
        <v>296981.96319464821</v>
      </c>
      <c r="V15" s="32">
        <f t="shared" si="2"/>
        <v>273464.05450704251</v>
      </c>
    </row>
  </sheetData>
  <mergeCells count="1">
    <mergeCell ref="A1:J1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J10"/>
  <sheetViews>
    <sheetView workbookViewId="0">
      <selection activeCell="A3" sqref="A3:XFD5"/>
    </sheetView>
  </sheetViews>
  <sheetFormatPr baseColWidth="10" defaultColWidth="9.1640625" defaultRowHeight="15"/>
  <cols>
    <col min="1" max="1" width="4.1640625" style="3" bestFit="1" customWidth="1"/>
    <col min="2" max="2" width="19.1640625" style="6" bestFit="1" customWidth="1"/>
    <col min="3" max="3" width="9.33203125" style="3" bestFit="1" customWidth="1"/>
    <col min="4" max="5" width="7.5" style="3" bestFit="1" customWidth="1"/>
    <col min="6" max="6" width="6.33203125" style="3" bestFit="1" customWidth="1"/>
    <col min="7" max="7" width="6.6640625" style="3" bestFit="1" customWidth="1"/>
    <col min="8" max="9" width="7.83203125" style="3" bestFit="1" customWidth="1"/>
    <col min="10" max="10" width="6.5" style="3" bestFit="1" customWidth="1"/>
    <col min="11" max="11" width="7" style="3" bestFit="1" customWidth="1"/>
    <col min="12" max="12" width="6.5" style="3" bestFit="1" customWidth="1"/>
    <col min="13" max="13" width="7.33203125" style="3" bestFit="1" customWidth="1"/>
    <col min="14" max="14" width="6.33203125" style="3" bestFit="1" customWidth="1"/>
    <col min="15" max="15" width="6.5" style="3" bestFit="1" customWidth="1"/>
    <col min="16" max="17" width="7.5" style="3" bestFit="1" customWidth="1"/>
    <col min="18" max="18" width="6.33203125" style="3" bestFit="1" customWidth="1"/>
    <col min="19" max="19" width="6.6640625" style="3" bestFit="1" customWidth="1"/>
    <col min="20" max="21" width="7.83203125" style="3" bestFit="1" customWidth="1"/>
    <col min="22" max="22" width="6.5" style="3" bestFit="1" customWidth="1"/>
    <col min="23" max="23" width="7" style="3" bestFit="1" customWidth="1"/>
    <col min="24" max="24" width="6.5" style="3" bestFit="1" customWidth="1"/>
    <col min="25" max="25" width="7.33203125" style="3" bestFit="1" customWidth="1"/>
    <col min="26" max="26" width="6.33203125" style="3" bestFit="1" customWidth="1"/>
    <col min="27" max="27" width="6.5" style="3" bestFit="1" customWidth="1"/>
    <col min="28" max="29" width="7.5" style="3" bestFit="1" customWidth="1"/>
    <col min="30" max="30" width="6.33203125" style="3" bestFit="1" customWidth="1"/>
    <col min="31" max="31" width="6.6640625" style="3" bestFit="1" customWidth="1"/>
    <col min="32" max="33" width="7.83203125" style="3" bestFit="1" customWidth="1"/>
    <col min="34" max="34" width="6.5" style="3" bestFit="1" customWidth="1"/>
    <col min="35" max="35" width="7" style="3" bestFit="1" customWidth="1"/>
    <col min="36" max="36" width="6.5" style="3" bestFit="1" customWidth="1"/>
    <col min="37" max="37" width="7.33203125" style="3" bestFit="1" customWidth="1"/>
    <col min="38" max="38" width="6.33203125" style="3" bestFit="1" customWidth="1"/>
    <col min="39" max="39" width="6.5" style="3" bestFit="1" customWidth="1"/>
    <col min="40" max="41" width="7.5" style="3" bestFit="1" customWidth="1"/>
    <col min="42" max="42" width="6.33203125" style="3" bestFit="1" customWidth="1"/>
    <col min="43" max="43" width="6.6640625" style="3" bestFit="1" customWidth="1"/>
    <col min="44" max="45" width="7.83203125" style="3" bestFit="1" customWidth="1"/>
    <col min="46" max="46" width="6.5" style="3" bestFit="1" customWidth="1"/>
    <col min="47" max="47" width="7" style="3" bestFit="1" customWidth="1"/>
    <col min="48" max="48" width="6.5" style="3" bestFit="1" customWidth="1"/>
    <col min="49" max="49" width="7.33203125" style="3" bestFit="1" customWidth="1"/>
    <col min="50" max="50" width="6.33203125" style="3" bestFit="1" customWidth="1"/>
    <col min="51" max="51" width="6.5" style="3" bestFit="1" customWidth="1"/>
    <col min="52" max="53" width="7.5" style="3" bestFit="1" customWidth="1"/>
    <col min="54" max="54" width="6.33203125" style="3" bestFit="1" customWidth="1"/>
    <col min="55" max="55" width="6.6640625" style="3" bestFit="1" customWidth="1"/>
    <col min="56" max="57" width="7.83203125" style="3" bestFit="1" customWidth="1"/>
    <col min="58" max="58" width="6.5" style="3" bestFit="1" customWidth="1"/>
    <col min="59" max="59" width="7" style="3" bestFit="1" customWidth="1"/>
    <col min="60" max="60" width="6.5" style="3" bestFit="1" customWidth="1"/>
    <col min="61" max="61" width="7.33203125" style="3" bestFit="1" customWidth="1"/>
    <col min="62" max="62" width="6.33203125" style="3" bestFit="1" customWidth="1"/>
    <col min="63" max="16384" width="9.1640625" style="3"/>
  </cols>
  <sheetData>
    <row r="1" spans="1:62" ht="32">
      <c r="A1" s="63" t="s">
        <v>18</v>
      </c>
      <c r="B1" s="48" t="s">
        <v>111</v>
      </c>
      <c r="C1" s="85">
        <f>Курс!C1</f>
        <v>44562</v>
      </c>
      <c r="D1" s="85">
        <f>Курс!D1</f>
        <v>44593</v>
      </c>
      <c r="E1" s="85">
        <f>Курс!E1</f>
        <v>44621</v>
      </c>
      <c r="F1" s="85">
        <f>Курс!F1</f>
        <v>44652</v>
      </c>
      <c r="G1" s="85">
        <f>Курс!G1</f>
        <v>44682</v>
      </c>
      <c r="H1" s="85">
        <f>Курс!H1</f>
        <v>44713</v>
      </c>
      <c r="I1" s="85">
        <f>Курс!I1</f>
        <v>44743</v>
      </c>
      <c r="J1" s="85">
        <f>Курс!J1</f>
        <v>44774</v>
      </c>
      <c r="K1" s="85">
        <f>Курс!K1</f>
        <v>44805</v>
      </c>
      <c r="L1" s="85">
        <f>Курс!L1</f>
        <v>44835</v>
      </c>
      <c r="M1" s="85">
        <f>Курс!M1</f>
        <v>44866</v>
      </c>
      <c r="N1" s="85">
        <f>Курс!N1</f>
        <v>44896</v>
      </c>
      <c r="O1" s="85">
        <f>Курс!O1</f>
        <v>44927</v>
      </c>
      <c r="P1" s="85">
        <f>Курс!P1</f>
        <v>44958</v>
      </c>
      <c r="Q1" s="85">
        <f>Курс!Q1</f>
        <v>44986</v>
      </c>
      <c r="R1" s="85">
        <f>Курс!R1</f>
        <v>45017</v>
      </c>
      <c r="S1" s="85">
        <f>Курс!S1</f>
        <v>45047</v>
      </c>
      <c r="T1" s="85">
        <f>Курс!T1</f>
        <v>45078</v>
      </c>
      <c r="U1" s="85">
        <f>Курс!U1</f>
        <v>45108</v>
      </c>
      <c r="V1" s="85">
        <f>Курс!V1</f>
        <v>45139</v>
      </c>
      <c r="W1" s="85">
        <f>Курс!W1</f>
        <v>45170</v>
      </c>
      <c r="X1" s="85">
        <f>Курс!X1</f>
        <v>45200</v>
      </c>
      <c r="Y1" s="85">
        <f>Курс!Y1</f>
        <v>45231</v>
      </c>
      <c r="Z1" s="85">
        <f>Курс!Z1</f>
        <v>45261</v>
      </c>
      <c r="AA1" s="85">
        <f>Курс!AA1</f>
        <v>45292</v>
      </c>
      <c r="AB1" s="85">
        <f>Курс!AB1</f>
        <v>45323</v>
      </c>
      <c r="AC1" s="85">
        <f>Курс!AC1</f>
        <v>45352</v>
      </c>
      <c r="AD1" s="85">
        <f>Курс!AD1</f>
        <v>45383</v>
      </c>
      <c r="AE1" s="85">
        <f>Курс!AE1</f>
        <v>45413</v>
      </c>
      <c r="AF1" s="85">
        <f>Курс!AF1</f>
        <v>45444</v>
      </c>
      <c r="AG1" s="85">
        <f>Курс!AG1</f>
        <v>45474</v>
      </c>
      <c r="AH1" s="85">
        <f>Курс!AH1</f>
        <v>45505</v>
      </c>
      <c r="AI1" s="85">
        <f>Курс!AI1</f>
        <v>45536</v>
      </c>
      <c r="AJ1" s="85">
        <f>Курс!AJ1</f>
        <v>45566</v>
      </c>
      <c r="AK1" s="85">
        <f>Курс!AK1</f>
        <v>45597</v>
      </c>
      <c r="AL1" s="85">
        <f>Курс!AL1</f>
        <v>45627</v>
      </c>
      <c r="AM1" s="85">
        <f>Курс!AM1</f>
        <v>45658</v>
      </c>
      <c r="AN1" s="85">
        <f>Курс!AN1</f>
        <v>45689</v>
      </c>
      <c r="AO1" s="85">
        <f>Курс!AO1</f>
        <v>45717</v>
      </c>
      <c r="AP1" s="85">
        <f>Курс!AP1</f>
        <v>45748</v>
      </c>
      <c r="AQ1" s="85">
        <f>Курс!AQ1</f>
        <v>45778</v>
      </c>
      <c r="AR1" s="85">
        <f>Курс!AR1</f>
        <v>45809</v>
      </c>
      <c r="AS1" s="85">
        <f>Курс!AS1</f>
        <v>45839</v>
      </c>
      <c r="AT1" s="85">
        <f>Курс!AT1</f>
        <v>45870</v>
      </c>
      <c r="AU1" s="85">
        <f>Курс!AU1</f>
        <v>45901</v>
      </c>
      <c r="AV1" s="85">
        <f>Курс!AV1</f>
        <v>45931</v>
      </c>
      <c r="AW1" s="85">
        <f>Курс!AW1</f>
        <v>45962</v>
      </c>
      <c r="AX1" s="85">
        <f>Курс!AX1</f>
        <v>45992</v>
      </c>
      <c r="AY1" s="85">
        <f>Курс!AY1</f>
        <v>46023</v>
      </c>
      <c r="AZ1" s="85">
        <f>Курс!AZ1</f>
        <v>46054</v>
      </c>
      <c r="BA1" s="85">
        <f>Курс!BA1</f>
        <v>46082</v>
      </c>
      <c r="BB1" s="85">
        <f>Курс!BB1</f>
        <v>46113</v>
      </c>
      <c r="BC1" s="85">
        <f>Курс!BC1</f>
        <v>46143</v>
      </c>
      <c r="BD1" s="85">
        <f>Курс!BD1</f>
        <v>46174</v>
      </c>
      <c r="BE1" s="85">
        <f>Курс!BE1</f>
        <v>46204</v>
      </c>
      <c r="BF1" s="85">
        <f>Курс!BF1</f>
        <v>46235</v>
      </c>
      <c r="BG1" s="85">
        <f>Курс!BG1</f>
        <v>46266</v>
      </c>
      <c r="BH1" s="85">
        <f>Курс!BH1</f>
        <v>46296</v>
      </c>
      <c r="BI1" s="85">
        <f>Курс!BI1</f>
        <v>46327</v>
      </c>
      <c r="BJ1" s="85">
        <f>Курс!BJ1</f>
        <v>46357</v>
      </c>
    </row>
    <row r="2" spans="1:62" ht="16">
      <c r="A2" s="83">
        <v>1</v>
      </c>
      <c r="B2" s="31" t="s">
        <v>112</v>
      </c>
      <c r="C2" s="32" t="e">
        <f>SUM(C3:C5)</f>
        <v>#REF!</v>
      </c>
      <c r="D2" s="32" t="e">
        <f t="shared" ref="D2:M2" si="0">SUM(D3:D5)</f>
        <v>#REF!</v>
      </c>
      <c r="E2" s="32" t="e">
        <f t="shared" si="0"/>
        <v>#REF!</v>
      </c>
      <c r="F2" s="32" t="e">
        <f t="shared" si="0"/>
        <v>#REF!</v>
      </c>
      <c r="G2" s="32" t="e">
        <f t="shared" si="0"/>
        <v>#REF!</v>
      </c>
      <c r="H2" s="32" t="e">
        <f t="shared" si="0"/>
        <v>#REF!</v>
      </c>
      <c r="I2" s="32" t="e">
        <f t="shared" si="0"/>
        <v>#REF!</v>
      </c>
      <c r="J2" s="32" t="e">
        <f t="shared" si="0"/>
        <v>#REF!</v>
      </c>
      <c r="K2" s="32" t="e">
        <f t="shared" si="0"/>
        <v>#REF!</v>
      </c>
      <c r="L2" s="32" t="e">
        <f t="shared" si="0"/>
        <v>#REF!</v>
      </c>
      <c r="M2" s="32" t="e">
        <f t="shared" si="0"/>
        <v>#REF!</v>
      </c>
      <c r="N2" s="32" t="e">
        <f>SUM(N3:N5)</f>
        <v>#REF!</v>
      </c>
      <c r="O2" s="32" t="e">
        <f t="shared" ref="O2:BJ2" si="1">SUM(O3:O5)</f>
        <v>#REF!</v>
      </c>
      <c r="P2" s="32" t="e">
        <f t="shared" si="1"/>
        <v>#REF!</v>
      </c>
      <c r="Q2" s="32" t="e">
        <f t="shared" si="1"/>
        <v>#REF!</v>
      </c>
      <c r="R2" s="32" t="e">
        <f t="shared" si="1"/>
        <v>#REF!</v>
      </c>
      <c r="S2" s="32" t="e">
        <f t="shared" si="1"/>
        <v>#REF!</v>
      </c>
      <c r="T2" s="32" t="e">
        <f t="shared" si="1"/>
        <v>#REF!</v>
      </c>
      <c r="U2" s="32" t="e">
        <f t="shared" si="1"/>
        <v>#REF!</v>
      </c>
      <c r="V2" s="32" t="e">
        <f t="shared" si="1"/>
        <v>#REF!</v>
      </c>
      <c r="W2" s="32" t="e">
        <f t="shared" si="1"/>
        <v>#REF!</v>
      </c>
      <c r="X2" s="32" t="e">
        <f t="shared" si="1"/>
        <v>#REF!</v>
      </c>
      <c r="Y2" s="32" t="e">
        <f t="shared" si="1"/>
        <v>#REF!</v>
      </c>
      <c r="Z2" s="32" t="e">
        <f t="shared" si="1"/>
        <v>#REF!</v>
      </c>
      <c r="AA2" s="32" t="e">
        <f t="shared" si="1"/>
        <v>#REF!</v>
      </c>
      <c r="AB2" s="32" t="e">
        <f t="shared" si="1"/>
        <v>#REF!</v>
      </c>
      <c r="AC2" s="32" t="e">
        <f t="shared" si="1"/>
        <v>#REF!</v>
      </c>
      <c r="AD2" s="32" t="e">
        <f t="shared" si="1"/>
        <v>#REF!</v>
      </c>
      <c r="AE2" s="32" t="e">
        <f t="shared" si="1"/>
        <v>#REF!</v>
      </c>
      <c r="AF2" s="32" t="e">
        <f t="shared" si="1"/>
        <v>#REF!</v>
      </c>
      <c r="AG2" s="32" t="e">
        <f t="shared" si="1"/>
        <v>#REF!</v>
      </c>
      <c r="AH2" s="32" t="e">
        <f t="shared" si="1"/>
        <v>#REF!</v>
      </c>
      <c r="AI2" s="32" t="e">
        <f t="shared" si="1"/>
        <v>#REF!</v>
      </c>
      <c r="AJ2" s="32" t="e">
        <f t="shared" si="1"/>
        <v>#REF!</v>
      </c>
      <c r="AK2" s="32" t="e">
        <f t="shared" si="1"/>
        <v>#REF!</v>
      </c>
      <c r="AL2" s="32" t="e">
        <f t="shared" si="1"/>
        <v>#REF!</v>
      </c>
      <c r="AM2" s="32" t="e">
        <f t="shared" si="1"/>
        <v>#REF!</v>
      </c>
      <c r="AN2" s="32" t="e">
        <f t="shared" si="1"/>
        <v>#REF!</v>
      </c>
      <c r="AO2" s="32" t="e">
        <f t="shared" si="1"/>
        <v>#REF!</v>
      </c>
      <c r="AP2" s="32" t="e">
        <f t="shared" si="1"/>
        <v>#REF!</v>
      </c>
      <c r="AQ2" s="32" t="e">
        <f t="shared" si="1"/>
        <v>#REF!</v>
      </c>
      <c r="AR2" s="32" t="e">
        <f t="shared" si="1"/>
        <v>#REF!</v>
      </c>
      <c r="AS2" s="32" t="e">
        <f t="shared" si="1"/>
        <v>#REF!</v>
      </c>
      <c r="AT2" s="32" t="e">
        <f t="shared" si="1"/>
        <v>#REF!</v>
      </c>
      <c r="AU2" s="32" t="e">
        <f t="shared" si="1"/>
        <v>#REF!</v>
      </c>
      <c r="AV2" s="32" t="e">
        <f t="shared" si="1"/>
        <v>#REF!</v>
      </c>
      <c r="AW2" s="32" t="e">
        <f t="shared" si="1"/>
        <v>#REF!</v>
      </c>
      <c r="AX2" s="32" t="e">
        <f t="shared" si="1"/>
        <v>#REF!</v>
      </c>
      <c r="AY2" s="32" t="e">
        <f t="shared" si="1"/>
        <v>#REF!</v>
      </c>
      <c r="AZ2" s="32" t="e">
        <f t="shared" si="1"/>
        <v>#REF!</v>
      </c>
      <c r="BA2" s="32" t="e">
        <f t="shared" si="1"/>
        <v>#REF!</v>
      </c>
      <c r="BB2" s="32" t="e">
        <f t="shared" si="1"/>
        <v>#REF!</v>
      </c>
      <c r="BC2" s="32" t="e">
        <f t="shared" si="1"/>
        <v>#REF!</v>
      </c>
      <c r="BD2" s="32" t="e">
        <f t="shared" si="1"/>
        <v>#REF!</v>
      </c>
      <c r="BE2" s="32" t="e">
        <f t="shared" si="1"/>
        <v>#REF!</v>
      </c>
      <c r="BF2" s="32" t="e">
        <f t="shared" si="1"/>
        <v>#REF!</v>
      </c>
      <c r="BG2" s="32" t="e">
        <f t="shared" si="1"/>
        <v>#REF!</v>
      </c>
      <c r="BH2" s="32" t="e">
        <f t="shared" si="1"/>
        <v>#REF!</v>
      </c>
      <c r="BI2" s="32" t="e">
        <f t="shared" si="1"/>
        <v>#REF!</v>
      </c>
      <c r="BJ2" s="32" t="e">
        <f t="shared" si="1"/>
        <v>#REF!</v>
      </c>
    </row>
    <row r="3" spans="1:62" ht="16">
      <c r="A3" s="83" t="s">
        <v>115</v>
      </c>
      <c r="B3" s="84" t="s">
        <v>43</v>
      </c>
      <c r="C3" s="32" t="e">
        <f>'9_Пр-во'!D3*'11_Цены_СиМ'!#REF!/1000</f>
        <v>#REF!</v>
      </c>
      <c r="D3" s="32" t="e">
        <f>'9_Пр-во'!E3*'11_Цены_СиМ'!#REF!/1000</f>
        <v>#REF!</v>
      </c>
      <c r="E3" s="32" t="e">
        <f>'9_Пр-во'!F3*'11_Цены_СиМ'!#REF!/1000</f>
        <v>#REF!</v>
      </c>
      <c r="F3" s="32" t="e">
        <f>'9_Пр-во'!G3*'11_Цены_СиМ'!#REF!/1000</f>
        <v>#REF!</v>
      </c>
      <c r="G3" s="32" t="e">
        <f>'9_Пр-во'!H3*'11_Цены_СиМ'!#REF!/1000</f>
        <v>#REF!</v>
      </c>
      <c r="H3" s="32" t="e">
        <f>'9_Пр-во'!I3*'11_Цены_СиМ'!#REF!/1000</f>
        <v>#REF!</v>
      </c>
      <c r="I3" s="32" t="e">
        <f>'9_Пр-во'!J3*'11_Цены_СиМ'!#REF!/1000</f>
        <v>#REF!</v>
      </c>
      <c r="J3" s="32" t="e">
        <f>'9_Пр-во'!K3*'11_Цены_СиМ'!#REF!/1000</f>
        <v>#REF!</v>
      </c>
      <c r="K3" s="32" t="e">
        <f>'9_Пр-во'!L3*'11_Цены_СиМ'!#REF!/1000</f>
        <v>#REF!</v>
      </c>
      <c r="L3" s="32" t="e">
        <f>'9_Пр-во'!M3*'11_Цены_СиМ'!#REF!/1000</f>
        <v>#REF!</v>
      </c>
      <c r="M3" s="32" t="e">
        <f>'9_Пр-во'!#REF!*'11_Цены_СиМ'!#REF!/1000</f>
        <v>#REF!</v>
      </c>
      <c r="N3" s="32" t="e">
        <f>'9_Пр-во'!#REF!*'11_Цены_СиМ'!#REF!/1000</f>
        <v>#REF!</v>
      </c>
      <c r="O3" s="32" t="e">
        <f>'9_Пр-во'!#REF!*'11_Цены_СиМ'!#REF!/1000</f>
        <v>#REF!</v>
      </c>
      <c r="P3" s="32" t="e">
        <f>'9_Пр-во'!#REF!*'11_Цены_СиМ'!#REF!/1000</f>
        <v>#REF!</v>
      </c>
      <c r="Q3" s="32" t="e">
        <f>'9_Пр-во'!#REF!*'11_Цены_СиМ'!#REF!/1000</f>
        <v>#REF!</v>
      </c>
      <c r="R3" s="32" t="e">
        <f>'9_Пр-во'!#REF!*'11_Цены_СиМ'!#REF!/1000</f>
        <v>#REF!</v>
      </c>
      <c r="S3" s="32" t="e">
        <f>'9_Пр-во'!#REF!*'11_Цены_СиМ'!#REF!/1000</f>
        <v>#REF!</v>
      </c>
      <c r="T3" s="32" t="e">
        <f>'9_Пр-во'!#REF!*'11_Цены_СиМ'!#REF!/1000</f>
        <v>#REF!</v>
      </c>
      <c r="U3" s="32" t="e">
        <f>'9_Пр-во'!#REF!*'11_Цены_СиМ'!#REF!/1000</f>
        <v>#REF!</v>
      </c>
      <c r="V3" s="32" t="e">
        <f>'9_Пр-во'!#REF!*'11_Цены_СиМ'!#REF!/1000</f>
        <v>#REF!</v>
      </c>
      <c r="W3" s="32" t="e">
        <f>'9_Пр-во'!#REF!*'11_Цены_СиМ'!#REF!/1000</f>
        <v>#REF!</v>
      </c>
      <c r="X3" s="32" t="e">
        <f>'9_Пр-во'!#REF!*'11_Цены_СиМ'!#REF!/1000</f>
        <v>#REF!</v>
      </c>
      <c r="Y3" s="32" t="e">
        <f>'9_Пр-во'!#REF!*'11_Цены_СиМ'!#REF!/1000</f>
        <v>#REF!</v>
      </c>
      <c r="Z3" s="32" t="e">
        <f>'9_Пр-во'!#REF!*'11_Цены_СиМ'!#REF!/1000</f>
        <v>#REF!</v>
      </c>
      <c r="AA3" s="32" t="e">
        <f>'9_Пр-во'!#REF!*'11_Цены_СиМ'!#REF!/1000</f>
        <v>#REF!</v>
      </c>
      <c r="AB3" s="32" t="e">
        <f>'9_Пр-во'!#REF!*'11_Цены_СиМ'!#REF!/1000</f>
        <v>#REF!</v>
      </c>
      <c r="AC3" s="32" t="e">
        <f>'9_Пр-во'!#REF!*'11_Цены_СиМ'!#REF!/1000</f>
        <v>#REF!</v>
      </c>
      <c r="AD3" s="32" t="e">
        <f>'9_Пр-во'!#REF!*'11_Цены_СиМ'!#REF!/1000</f>
        <v>#REF!</v>
      </c>
      <c r="AE3" s="32" t="e">
        <f>'9_Пр-во'!#REF!*'11_Цены_СиМ'!#REF!/1000</f>
        <v>#REF!</v>
      </c>
      <c r="AF3" s="32" t="e">
        <f>'9_Пр-во'!#REF!*'11_Цены_СиМ'!#REF!/1000</f>
        <v>#REF!</v>
      </c>
      <c r="AG3" s="32" t="e">
        <f>'9_Пр-во'!#REF!*'11_Цены_СиМ'!#REF!/1000</f>
        <v>#REF!</v>
      </c>
      <c r="AH3" s="32" t="e">
        <f>'9_Пр-во'!#REF!*'11_Цены_СиМ'!#REF!/1000</f>
        <v>#REF!</v>
      </c>
      <c r="AI3" s="32" t="e">
        <f>'9_Пр-во'!#REF!*'11_Цены_СиМ'!#REF!/1000</f>
        <v>#REF!</v>
      </c>
      <c r="AJ3" s="32" t="e">
        <f>'9_Пр-во'!#REF!*'11_Цены_СиМ'!#REF!/1000</f>
        <v>#REF!</v>
      </c>
      <c r="AK3" s="32" t="e">
        <f>'9_Пр-во'!#REF!*'11_Цены_СиМ'!#REF!/1000</f>
        <v>#REF!</v>
      </c>
      <c r="AL3" s="32" t="e">
        <f>'9_Пр-во'!#REF!*'11_Цены_СиМ'!#REF!/1000</f>
        <v>#REF!</v>
      </c>
      <c r="AM3" s="32" t="e">
        <f>'9_Пр-во'!#REF!*'11_Цены_СиМ'!#REF!/1000</f>
        <v>#REF!</v>
      </c>
      <c r="AN3" s="32" t="e">
        <f>'9_Пр-во'!#REF!*'11_Цены_СиМ'!#REF!/1000</f>
        <v>#REF!</v>
      </c>
      <c r="AO3" s="32" t="e">
        <f>'9_Пр-во'!#REF!*'11_Цены_СиМ'!#REF!/1000</f>
        <v>#REF!</v>
      </c>
      <c r="AP3" s="32" t="e">
        <f>'9_Пр-во'!#REF!*'11_Цены_СиМ'!#REF!/1000</f>
        <v>#REF!</v>
      </c>
      <c r="AQ3" s="32" t="e">
        <f>'9_Пр-во'!#REF!*'11_Цены_СиМ'!#REF!/1000</f>
        <v>#REF!</v>
      </c>
      <c r="AR3" s="32" t="e">
        <f>'9_Пр-во'!#REF!*'11_Цены_СиМ'!#REF!/1000</f>
        <v>#REF!</v>
      </c>
      <c r="AS3" s="32" t="e">
        <f>'9_Пр-во'!#REF!*'11_Цены_СиМ'!#REF!/1000</f>
        <v>#REF!</v>
      </c>
      <c r="AT3" s="32" t="e">
        <f>'9_Пр-во'!#REF!*'11_Цены_СиМ'!#REF!/1000</f>
        <v>#REF!</v>
      </c>
      <c r="AU3" s="32" t="e">
        <f>'9_Пр-во'!#REF!*'11_Цены_СиМ'!#REF!/1000</f>
        <v>#REF!</v>
      </c>
      <c r="AV3" s="32" t="e">
        <f>'9_Пр-во'!#REF!*'11_Цены_СиМ'!#REF!/1000</f>
        <v>#REF!</v>
      </c>
      <c r="AW3" s="32" t="e">
        <f>'9_Пр-во'!#REF!*'11_Цены_СиМ'!#REF!/1000</f>
        <v>#REF!</v>
      </c>
      <c r="AX3" s="32" t="e">
        <f>'9_Пр-во'!#REF!*'11_Цены_СиМ'!#REF!/1000</f>
        <v>#REF!</v>
      </c>
      <c r="AY3" s="32" t="e">
        <f>'9_Пр-во'!#REF!*'11_Цены_СиМ'!#REF!/1000</f>
        <v>#REF!</v>
      </c>
      <c r="AZ3" s="32" t="e">
        <f>'9_Пр-во'!#REF!*'11_Цены_СиМ'!#REF!/1000</f>
        <v>#REF!</v>
      </c>
      <c r="BA3" s="32" t="e">
        <f>'9_Пр-во'!#REF!*'11_Цены_СиМ'!#REF!/1000</f>
        <v>#REF!</v>
      </c>
      <c r="BB3" s="32" t="e">
        <f>'9_Пр-во'!#REF!*'11_Цены_СиМ'!#REF!/1000</f>
        <v>#REF!</v>
      </c>
      <c r="BC3" s="32" t="e">
        <f>'9_Пр-во'!#REF!*'11_Цены_СиМ'!#REF!/1000</f>
        <v>#REF!</v>
      </c>
      <c r="BD3" s="32" t="e">
        <f>'9_Пр-во'!#REF!*'11_Цены_СиМ'!#REF!/1000</f>
        <v>#REF!</v>
      </c>
      <c r="BE3" s="32" t="e">
        <f>'9_Пр-во'!#REF!*'11_Цены_СиМ'!#REF!/1000</f>
        <v>#REF!</v>
      </c>
      <c r="BF3" s="32" t="e">
        <f>'9_Пр-во'!#REF!*'11_Цены_СиМ'!#REF!/1000</f>
        <v>#REF!</v>
      </c>
      <c r="BG3" s="32" t="e">
        <f>'9_Пр-во'!#REF!*'11_Цены_СиМ'!#REF!/1000</f>
        <v>#REF!</v>
      </c>
      <c r="BH3" s="32" t="e">
        <f>'9_Пр-во'!#REF!*'11_Цены_СиМ'!#REF!/1000</f>
        <v>#REF!</v>
      </c>
      <c r="BI3" s="32" t="e">
        <f>'9_Пр-во'!#REF!*'11_Цены_СиМ'!#REF!/1000</f>
        <v>#REF!</v>
      </c>
      <c r="BJ3" s="32" t="e">
        <f>'9_Пр-во'!#REF!*'11_Цены_СиМ'!#REF!/1000</f>
        <v>#REF!</v>
      </c>
    </row>
    <row r="4" spans="1:62" ht="16">
      <c r="A4" s="83" t="s">
        <v>116</v>
      </c>
      <c r="B4" s="84" t="s">
        <v>53</v>
      </c>
      <c r="C4" s="32" t="e">
        <f>#REF!*'9_Пр-во'!#REF!/1000</f>
        <v>#REF!</v>
      </c>
      <c r="D4" s="32" t="e">
        <f>#REF!*'9_Пр-во'!#REF!/1000</f>
        <v>#REF!</v>
      </c>
      <c r="E4" s="32" t="e">
        <f>#REF!*'9_Пр-во'!#REF!/1000</f>
        <v>#REF!</v>
      </c>
      <c r="F4" s="32" t="e">
        <f>#REF!*'9_Пр-во'!#REF!/1000</f>
        <v>#REF!</v>
      </c>
      <c r="G4" s="32" t="e">
        <f>#REF!*'9_Пр-во'!#REF!/1000</f>
        <v>#REF!</v>
      </c>
      <c r="H4" s="32" t="e">
        <f>#REF!*'9_Пр-во'!#REF!/1000</f>
        <v>#REF!</v>
      </c>
      <c r="I4" s="32" t="e">
        <f>#REF!*'9_Пр-во'!#REF!/1000</f>
        <v>#REF!</v>
      </c>
      <c r="J4" s="32" t="e">
        <f>#REF!*'9_Пр-во'!#REF!/1000</f>
        <v>#REF!</v>
      </c>
      <c r="K4" s="32" t="e">
        <f>#REF!*'9_Пр-во'!#REF!/1000</f>
        <v>#REF!</v>
      </c>
      <c r="L4" s="32" t="e">
        <f>#REF!*'9_Пр-во'!#REF!/1000</f>
        <v>#REF!</v>
      </c>
      <c r="M4" s="32" t="e">
        <f>#REF!*'9_Пр-во'!#REF!/1000</f>
        <v>#REF!</v>
      </c>
      <c r="N4" s="32" t="e">
        <f>#REF!*'9_Пр-во'!#REF!/1000</f>
        <v>#REF!</v>
      </c>
      <c r="O4" s="32" t="e">
        <f>#REF!*'9_Пр-во'!#REF!/1000</f>
        <v>#REF!</v>
      </c>
      <c r="P4" s="32" t="e">
        <f>#REF!*'9_Пр-во'!#REF!/1000</f>
        <v>#REF!</v>
      </c>
      <c r="Q4" s="32" t="e">
        <f>#REF!*'9_Пр-во'!#REF!/1000</f>
        <v>#REF!</v>
      </c>
      <c r="R4" s="32" t="e">
        <f>#REF!*'9_Пр-во'!#REF!/1000</f>
        <v>#REF!</v>
      </c>
      <c r="S4" s="32" t="e">
        <f>#REF!*'9_Пр-во'!#REF!/1000</f>
        <v>#REF!</v>
      </c>
      <c r="T4" s="32" t="e">
        <f>#REF!*'9_Пр-во'!#REF!/1000</f>
        <v>#REF!</v>
      </c>
      <c r="U4" s="32" t="e">
        <f>#REF!*'9_Пр-во'!#REF!/1000</f>
        <v>#REF!</v>
      </c>
      <c r="V4" s="32" t="e">
        <f>#REF!*'9_Пр-во'!#REF!/1000</f>
        <v>#REF!</v>
      </c>
      <c r="W4" s="32" t="e">
        <f>#REF!*'9_Пр-во'!#REF!/1000</f>
        <v>#REF!</v>
      </c>
      <c r="X4" s="32" t="e">
        <f>#REF!*'9_Пр-во'!#REF!/1000</f>
        <v>#REF!</v>
      </c>
      <c r="Y4" s="32" t="e">
        <f>#REF!*'9_Пр-во'!#REF!/1000</f>
        <v>#REF!</v>
      </c>
      <c r="Z4" s="32" t="e">
        <f>#REF!*'9_Пр-во'!#REF!/1000</f>
        <v>#REF!</v>
      </c>
      <c r="AA4" s="32" t="e">
        <f>#REF!*'9_Пр-во'!#REF!/1000</f>
        <v>#REF!</v>
      </c>
      <c r="AB4" s="32" t="e">
        <f>#REF!*'9_Пр-во'!#REF!/1000</f>
        <v>#REF!</v>
      </c>
      <c r="AC4" s="32" t="e">
        <f>#REF!*'9_Пр-во'!#REF!/1000</f>
        <v>#REF!</v>
      </c>
      <c r="AD4" s="32" t="e">
        <f>#REF!*'9_Пр-во'!#REF!/1000</f>
        <v>#REF!</v>
      </c>
      <c r="AE4" s="32" t="e">
        <f>#REF!*'9_Пр-во'!#REF!/1000</f>
        <v>#REF!</v>
      </c>
      <c r="AF4" s="32" t="e">
        <f>#REF!*'9_Пр-во'!#REF!/1000</f>
        <v>#REF!</v>
      </c>
      <c r="AG4" s="32" t="e">
        <f>#REF!*'9_Пр-во'!#REF!/1000</f>
        <v>#REF!</v>
      </c>
      <c r="AH4" s="32" t="e">
        <f>#REF!*'9_Пр-во'!#REF!/1000</f>
        <v>#REF!</v>
      </c>
      <c r="AI4" s="32" t="e">
        <f>#REF!*'9_Пр-во'!#REF!/1000</f>
        <v>#REF!</v>
      </c>
      <c r="AJ4" s="32" t="e">
        <f>#REF!*'9_Пр-во'!#REF!/1000</f>
        <v>#REF!</v>
      </c>
      <c r="AK4" s="32" t="e">
        <f>#REF!*'9_Пр-во'!#REF!/1000</f>
        <v>#REF!</v>
      </c>
      <c r="AL4" s="32" t="e">
        <f>#REF!*'9_Пр-во'!#REF!/1000</f>
        <v>#REF!</v>
      </c>
      <c r="AM4" s="32" t="e">
        <f>#REF!*'9_Пр-во'!#REF!/1000</f>
        <v>#REF!</v>
      </c>
      <c r="AN4" s="32" t="e">
        <f>#REF!*'9_Пр-во'!#REF!/1000</f>
        <v>#REF!</v>
      </c>
      <c r="AO4" s="32" t="e">
        <f>#REF!*'9_Пр-во'!#REF!/1000</f>
        <v>#REF!</v>
      </c>
      <c r="AP4" s="32" t="e">
        <f>#REF!*'9_Пр-во'!#REF!/1000</f>
        <v>#REF!</v>
      </c>
      <c r="AQ4" s="32" t="e">
        <f>#REF!*'9_Пр-во'!#REF!/1000</f>
        <v>#REF!</v>
      </c>
      <c r="AR4" s="32" t="e">
        <f>#REF!*'9_Пр-во'!#REF!/1000</f>
        <v>#REF!</v>
      </c>
      <c r="AS4" s="32" t="e">
        <f>#REF!*'9_Пр-во'!#REF!/1000</f>
        <v>#REF!</v>
      </c>
      <c r="AT4" s="32" t="e">
        <f>#REF!*'9_Пр-во'!#REF!/1000</f>
        <v>#REF!</v>
      </c>
      <c r="AU4" s="32" t="e">
        <f>#REF!*'9_Пр-во'!#REF!/1000</f>
        <v>#REF!</v>
      </c>
      <c r="AV4" s="32" t="e">
        <f>#REF!*'9_Пр-во'!#REF!/1000</f>
        <v>#REF!</v>
      </c>
      <c r="AW4" s="32" t="e">
        <f>#REF!*'9_Пр-во'!#REF!/1000</f>
        <v>#REF!</v>
      </c>
      <c r="AX4" s="32" t="e">
        <f>#REF!*'9_Пр-во'!#REF!/1000</f>
        <v>#REF!</v>
      </c>
      <c r="AY4" s="32" t="e">
        <f>#REF!*'9_Пр-во'!#REF!/1000</f>
        <v>#REF!</v>
      </c>
      <c r="AZ4" s="32" t="e">
        <f>#REF!*'9_Пр-во'!#REF!/1000</f>
        <v>#REF!</v>
      </c>
      <c r="BA4" s="32" t="e">
        <f>#REF!*'9_Пр-во'!#REF!/1000</f>
        <v>#REF!</v>
      </c>
      <c r="BB4" s="32" t="e">
        <f>#REF!*'9_Пр-во'!#REF!/1000</f>
        <v>#REF!</v>
      </c>
      <c r="BC4" s="32" t="e">
        <f>#REF!*'9_Пр-во'!#REF!/1000</f>
        <v>#REF!</v>
      </c>
      <c r="BD4" s="32" t="e">
        <f>#REF!*'9_Пр-во'!#REF!/1000</f>
        <v>#REF!</v>
      </c>
      <c r="BE4" s="32" t="e">
        <f>#REF!*'9_Пр-во'!#REF!/1000</f>
        <v>#REF!</v>
      </c>
      <c r="BF4" s="32" t="e">
        <f>#REF!*'9_Пр-во'!#REF!/1000</f>
        <v>#REF!</v>
      </c>
      <c r="BG4" s="32" t="e">
        <f>#REF!*'9_Пр-во'!#REF!/1000</f>
        <v>#REF!</v>
      </c>
      <c r="BH4" s="32" t="e">
        <f>#REF!*'9_Пр-во'!#REF!/1000</f>
        <v>#REF!</v>
      </c>
      <c r="BI4" s="32" t="e">
        <f>#REF!*'9_Пр-во'!#REF!/1000</f>
        <v>#REF!</v>
      </c>
      <c r="BJ4" s="32" t="e">
        <f>#REF!*'9_Пр-во'!#REF!/1000</f>
        <v>#REF!</v>
      </c>
    </row>
    <row r="5" spans="1:62" ht="16">
      <c r="A5" s="83" t="s">
        <v>140</v>
      </c>
      <c r="B5" s="84" t="s">
        <v>141</v>
      </c>
      <c r="C5" s="32" t="e">
        <f>'9_Пр-во'!D12*'11_Цены_СиМ'!#REF!/1000</f>
        <v>#REF!</v>
      </c>
      <c r="D5" s="32" t="e">
        <f>'9_Пр-во'!E12*'11_Цены_СиМ'!#REF!/1000</f>
        <v>#REF!</v>
      </c>
      <c r="E5" s="32" t="e">
        <f>'9_Пр-во'!F12*'11_Цены_СиМ'!#REF!/1000</f>
        <v>#REF!</v>
      </c>
      <c r="F5" s="32" t="e">
        <f>'9_Пр-во'!G12*'11_Цены_СиМ'!#REF!/1000</f>
        <v>#REF!</v>
      </c>
      <c r="G5" s="32" t="e">
        <f>'9_Пр-во'!H12*'11_Цены_СиМ'!#REF!/1000</f>
        <v>#REF!</v>
      </c>
      <c r="H5" s="32" t="e">
        <f>'9_Пр-во'!I12*'11_Цены_СиМ'!#REF!/1000</f>
        <v>#REF!</v>
      </c>
      <c r="I5" s="32" t="e">
        <f>'9_Пр-во'!J12*'11_Цены_СиМ'!#REF!/1000</f>
        <v>#REF!</v>
      </c>
      <c r="J5" s="32" t="e">
        <f>'9_Пр-во'!K12*'11_Цены_СиМ'!#REF!/1000</f>
        <v>#REF!</v>
      </c>
      <c r="K5" s="32" t="e">
        <f>'9_Пр-во'!L12*'11_Цены_СиМ'!#REF!/1000</f>
        <v>#REF!</v>
      </c>
      <c r="L5" s="32" t="e">
        <f>'9_Пр-во'!M12*'11_Цены_СиМ'!#REF!/1000</f>
        <v>#REF!</v>
      </c>
      <c r="M5" s="32" t="e">
        <f>'9_Пр-во'!#REF!*'11_Цены_СиМ'!#REF!/1000</f>
        <v>#REF!</v>
      </c>
      <c r="N5" s="32" t="e">
        <f>'9_Пр-во'!#REF!*'11_Цены_СиМ'!#REF!/1000</f>
        <v>#REF!</v>
      </c>
      <c r="O5" s="32" t="e">
        <f>'9_Пр-во'!#REF!*'11_Цены_СиМ'!#REF!/1000</f>
        <v>#REF!</v>
      </c>
      <c r="P5" s="32" t="e">
        <f>'9_Пр-во'!#REF!*'11_Цены_СиМ'!#REF!/1000</f>
        <v>#REF!</v>
      </c>
      <c r="Q5" s="32" t="e">
        <f>'9_Пр-во'!#REF!*'11_Цены_СиМ'!#REF!/1000</f>
        <v>#REF!</v>
      </c>
      <c r="R5" s="32" t="e">
        <f>'9_Пр-во'!#REF!*'11_Цены_СиМ'!#REF!/1000</f>
        <v>#REF!</v>
      </c>
      <c r="S5" s="32" t="e">
        <f>'9_Пр-во'!#REF!*'11_Цены_СиМ'!#REF!/1000</f>
        <v>#REF!</v>
      </c>
      <c r="T5" s="32" t="e">
        <f>'9_Пр-во'!#REF!*'11_Цены_СиМ'!#REF!/1000</f>
        <v>#REF!</v>
      </c>
      <c r="U5" s="32" t="e">
        <f>'9_Пр-во'!#REF!*'11_Цены_СиМ'!#REF!/1000</f>
        <v>#REF!</v>
      </c>
      <c r="V5" s="32" t="e">
        <f>'9_Пр-во'!#REF!*'11_Цены_СиМ'!#REF!/1000</f>
        <v>#REF!</v>
      </c>
      <c r="W5" s="32" t="e">
        <f>'9_Пр-во'!#REF!*'11_Цены_СиМ'!#REF!/1000</f>
        <v>#REF!</v>
      </c>
      <c r="X5" s="32" t="e">
        <f>'9_Пр-во'!#REF!*'11_Цены_СиМ'!#REF!/1000</f>
        <v>#REF!</v>
      </c>
      <c r="Y5" s="32" t="e">
        <f>'9_Пр-во'!#REF!*'11_Цены_СиМ'!#REF!/1000</f>
        <v>#REF!</v>
      </c>
      <c r="Z5" s="32" t="e">
        <f>'9_Пр-во'!#REF!*'11_Цены_СиМ'!#REF!/1000</f>
        <v>#REF!</v>
      </c>
      <c r="AA5" s="32" t="e">
        <f>'9_Пр-во'!#REF!*'11_Цены_СиМ'!#REF!/1000</f>
        <v>#REF!</v>
      </c>
      <c r="AB5" s="32" t="e">
        <f>'9_Пр-во'!#REF!*'11_Цены_СиМ'!#REF!/1000</f>
        <v>#REF!</v>
      </c>
      <c r="AC5" s="32" t="e">
        <f>'9_Пр-во'!#REF!*'11_Цены_СиМ'!#REF!/1000</f>
        <v>#REF!</v>
      </c>
      <c r="AD5" s="32" t="e">
        <f>'9_Пр-во'!#REF!*'11_Цены_СиМ'!#REF!/1000</f>
        <v>#REF!</v>
      </c>
      <c r="AE5" s="32" t="e">
        <f>'9_Пр-во'!#REF!*'11_Цены_СиМ'!#REF!/1000</f>
        <v>#REF!</v>
      </c>
      <c r="AF5" s="32" t="e">
        <f>'9_Пр-во'!#REF!*'11_Цены_СиМ'!#REF!/1000</f>
        <v>#REF!</v>
      </c>
      <c r="AG5" s="32" t="e">
        <f>'9_Пр-во'!#REF!*'11_Цены_СиМ'!#REF!/1000</f>
        <v>#REF!</v>
      </c>
      <c r="AH5" s="32" t="e">
        <f>'9_Пр-во'!#REF!*'11_Цены_СиМ'!#REF!/1000</f>
        <v>#REF!</v>
      </c>
      <c r="AI5" s="32" t="e">
        <f>'9_Пр-во'!#REF!*'11_Цены_СиМ'!#REF!/1000</f>
        <v>#REF!</v>
      </c>
      <c r="AJ5" s="32" t="e">
        <f>'9_Пр-во'!#REF!*'11_Цены_СиМ'!#REF!/1000</f>
        <v>#REF!</v>
      </c>
      <c r="AK5" s="32" t="e">
        <f>'9_Пр-во'!#REF!*'11_Цены_СиМ'!#REF!/1000</f>
        <v>#REF!</v>
      </c>
      <c r="AL5" s="32" t="e">
        <f>'9_Пр-во'!#REF!*'11_Цены_СиМ'!#REF!/1000</f>
        <v>#REF!</v>
      </c>
      <c r="AM5" s="32" t="e">
        <f>'9_Пр-во'!#REF!*'11_Цены_СиМ'!#REF!/1000</f>
        <v>#REF!</v>
      </c>
      <c r="AN5" s="32" t="e">
        <f>'9_Пр-во'!#REF!*'11_Цены_СиМ'!#REF!/1000</f>
        <v>#REF!</v>
      </c>
      <c r="AO5" s="32" t="e">
        <f>'9_Пр-во'!#REF!*'11_Цены_СиМ'!#REF!/1000</f>
        <v>#REF!</v>
      </c>
      <c r="AP5" s="32" t="e">
        <f>'9_Пр-во'!#REF!*'11_Цены_СиМ'!#REF!/1000</f>
        <v>#REF!</v>
      </c>
      <c r="AQ5" s="32" t="e">
        <f>'9_Пр-во'!#REF!*'11_Цены_СиМ'!#REF!/1000</f>
        <v>#REF!</v>
      </c>
      <c r="AR5" s="32" t="e">
        <f>'9_Пр-во'!#REF!*'11_Цены_СиМ'!#REF!/1000</f>
        <v>#REF!</v>
      </c>
      <c r="AS5" s="32" t="e">
        <f>'9_Пр-во'!#REF!*'11_Цены_СиМ'!#REF!/1000</f>
        <v>#REF!</v>
      </c>
      <c r="AT5" s="32" t="e">
        <f>'9_Пр-во'!#REF!*'11_Цены_СиМ'!#REF!/1000</f>
        <v>#REF!</v>
      </c>
      <c r="AU5" s="32" t="e">
        <f>'9_Пр-во'!#REF!*'11_Цены_СиМ'!#REF!/1000</f>
        <v>#REF!</v>
      </c>
      <c r="AV5" s="32" t="e">
        <f>'9_Пр-во'!#REF!*'11_Цены_СиМ'!#REF!/1000</f>
        <v>#REF!</v>
      </c>
      <c r="AW5" s="32" t="e">
        <f>'9_Пр-во'!#REF!*'11_Цены_СиМ'!#REF!/1000</f>
        <v>#REF!</v>
      </c>
      <c r="AX5" s="32" t="e">
        <f>'9_Пр-во'!#REF!*'11_Цены_СиМ'!#REF!/1000</f>
        <v>#REF!</v>
      </c>
      <c r="AY5" s="32" t="e">
        <f>'9_Пр-во'!#REF!*'11_Цены_СиМ'!#REF!/1000</f>
        <v>#REF!</v>
      </c>
      <c r="AZ5" s="32" t="e">
        <f>'9_Пр-во'!#REF!*'11_Цены_СиМ'!#REF!/1000</f>
        <v>#REF!</v>
      </c>
      <c r="BA5" s="32" t="e">
        <f>'9_Пр-во'!#REF!*'11_Цены_СиМ'!#REF!/1000</f>
        <v>#REF!</v>
      </c>
      <c r="BB5" s="32" t="e">
        <f>'9_Пр-во'!#REF!*'11_Цены_СиМ'!#REF!/1000</f>
        <v>#REF!</v>
      </c>
      <c r="BC5" s="32" t="e">
        <f>'9_Пр-во'!#REF!*'11_Цены_СиМ'!#REF!/1000</f>
        <v>#REF!</v>
      </c>
      <c r="BD5" s="32" t="e">
        <f>'9_Пр-во'!#REF!*'11_Цены_СиМ'!#REF!/1000</f>
        <v>#REF!</v>
      </c>
      <c r="BE5" s="32" t="e">
        <f>'9_Пр-во'!#REF!*'11_Цены_СиМ'!#REF!/1000</f>
        <v>#REF!</v>
      </c>
      <c r="BF5" s="32" t="e">
        <f>'9_Пр-во'!#REF!*'11_Цены_СиМ'!#REF!/1000</f>
        <v>#REF!</v>
      </c>
      <c r="BG5" s="32" t="e">
        <f>'9_Пр-во'!#REF!*'11_Цены_СиМ'!#REF!/1000</f>
        <v>#REF!</v>
      </c>
      <c r="BH5" s="32" t="e">
        <f>'9_Пр-во'!#REF!*'11_Цены_СиМ'!#REF!/1000</f>
        <v>#REF!</v>
      </c>
      <c r="BI5" s="32" t="e">
        <f>'9_Пр-во'!#REF!*'11_Цены_СиМ'!#REF!/1000</f>
        <v>#REF!</v>
      </c>
      <c r="BJ5" s="32" t="e">
        <f>'9_Пр-во'!#REF!*'11_Цены_СиМ'!#REF!/1000</f>
        <v>#REF!</v>
      </c>
    </row>
    <row r="6" spans="1:62" ht="16">
      <c r="A6" s="83">
        <v>2</v>
      </c>
      <c r="B6" s="31" t="s">
        <v>113</v>
      </c>
      <c r="C6" s="32">
        <f>'14_ПР_дин'!B3</f>
        <v>0</v>
      </c>
      <c r="D6" s="32">
        <f>'14_ПР_дин'!C3</f>
        <v>0</v>
      </c>
      <c r="E6" s="32">
        <f>'14_ПР_дин'!D3</f>
        <v>0</v>
      </c>
      <c r="F6" s="32">
        <f>'14_ПР_дин'!E3</f>
        <v>60148.952211379496</v>
      </c>
      <c r="G6" s="32">
        <f>'14_ПР_дин'!F3</f>
        <v>60148.952211379496</v>
      </c>
      <c r="H6" s="32">
        <f>'14_ПР_дин'!G3</f>
        <v>60148.952211379496</v>
      </c>
      <c r="I6" s="32">
        <f>'14_ПР_дин'!H3</f>
        <v>60148.952211379496</v>
      </c>
      <c r="J6" s="32">
        <f>'14_ПР_дин'!I3</f>
        <v>60148.952211379496</v>
      </c>
      <c r="K6" s="32">
        <f>'14_ПР_дин'!J3</f>
        <v>60148.952211379496</v>
      </c>
      <c r="L6" s="32">
        <f>'14_ПР_дин'!K3</f>
        <v>60148.952211379496</v>
      </c>
      <c r="M6" s="32" t="e">
        <f>'14_ПР_дин'!#REF!</f>
        <v>#REF!</v>
      </c>
      <c r="N6" s="32" t="e">
        <f>'14_ПР_дин'!#REF!</f>
        <v>#REF!</v>
      </c>
      <c r="O6" s="32" t="e">
        <f>'14_ПР_дин'!#REF!</f>
        <v>#REF!</v>
      </c>
      <c r="P6" s="32" t="e">
        <f>'14_ПР_дин'!#REF!</f>
        <v>#REF!</v>
      </c>
      <c r="Q6" s="32" t="e">
        <f>'14_ПР_дин'!#REF!</f>
        <v>#REF!</v>
      </c>
      <c r="R6" s="32" t="e">
        <f>'14_ПР_дин'!#REF!</f>
        <v>#REF!</v>
      </c>
      <c r="S6" s="32" t="e">
        <f>'14_ПР_дин'!#REF!</f>
        <v>#REF!</v>
      </c>
      <c r="T6" s="32" t="e">
        <f>'14_ПР_дин'!#REF!</f>
        <v>#REF!</v>
      </c>
      <c r="U6" s="32" t="e">
        <f>'14_ПР_дин'!#REF!</f>
        <v>#REF!</v>
      </c>
      <c r="V6" s="32" t="e">
        <f>'14_ПР_дин'!#REF!</f>
        <v>#REF!</v>
      </c>
      <c r="W6" s="32" t="e">
        <f>'14_ПР_дин'!#REF!</f>
        <v>#REF!</v>
      </c>
      <c r="X6" s="32" t="e">
        <f>'14_ПР_дин'!#REF!</f>
        <v>#REF!</v>
      </c>
      <c r="Y6" s="32" t="e">
        <f>'14_ПР_дин'!#REF!</f>
        <v>#REF!</v>
      </c>
      <c r="Z6" s="32" t="e">
        <f>'14_ПР_дин'!#REF!</f>
        <v>#REF!</v>
      </c>
      <c r="AA6" s="32" t="e">
        <f>'14_ПР_дин'!#REF!</f>
        <v>#REF!</v>
      </c>
      <c r="AB6" s="32" t="e">
        <f>'14_ПР_дин'!#REF!</f>
        <v>#REF!</v>
      </c>
      <c r="AC6" s="32" t="e">
        <f>'14_ПР_дин'!#REF!</f>
        <v>#REF!</v>
      </c>
      <c r="AD6" s="32" t="e">
        <f>'14_ПР_дин'!#REF!</f>
        <v>#REF!</v>
      </c>
      <c r="AE6" s="32" t="e">
        <f>'14_ПР_дин'!#REF!</f>
        <v>#REF!</v>
      </c>
      <c r="AF6" s="32" t="e">
        <f>'14_ПР_дин'!#REF!</f>
        <v>#REF!</v>
      </c>
      <c r="AG6" s="32" t="e">
        <f>'14_ПР_дин'!#REF!</f>
        <v>#REF!</v>
      </c>
      <c r="AH6" s="32" t="e">
        <f>'14_ПР_дин'!#REF!</f>
        <v>#REF!</v>
      </c>
      <c r="AI6" s="32" t="e">
        <f>'14_ПР_дин'!#REF!</f>
        <v>#REF!</v>
      </c>
      <c r="AJ6" s="32" t="e">
        <f>'14_ПР_дин'!#REF!</f>
        <v>#REF!</v>
      </c>
      <c r="AK6" s="32" t="e">
        <f>'14_ПР_дин'!#REF!</f>
        <v>#REF!</v>
      </c>
      <c r="AL6" s="32" t="e">
        <f>'14_ПР_дин'!#REF!</f>
        <v>#REF!</v>
      </c>
      <c r="AM6" s="32" t="e">
        <f>'14_ПР_дин'!#REF!</f>
        <v>#REF!</v>
      </c>
      <c r="AN6" s="32" t="e">
        <f>'14_ПР_дин'!#REF!</f>
        <v>#REF!</v>
      </c>
      <c r="AO6" s="32" t="e">
        <f>'14_ПР_дин'!#REF!</f>
        <v>#REF!</v>
      </c>
      <c r="AP6" s="32" t="e">
        <f>'14_ПР_дин'!#REF!</f>
        <v>#REF!</v>
      </c>
      <c r="AQ6" s="32" t="e">
        <f>'14_ПР_дин'!#REF!</f>
        <v>#REF!</v>
      </c>
      <c r="AR6" s="32" t="e">
        <f>'14_ПР_дин'!#REF!</f>
        <v>#REF!</v>
      </c>
      <c r="AS6" s="32" t="e">
        <f>'14_ПР_дин'!#REF!</f>
        <v>#REF!</v>
      </c>
      <c r="AT6" s="32" t="e">
        <f>'14_ПР_дин'!#REF!</f>
        <v>#REF!</v>
      </c>
      <c r="AU6" s="32" t="e">
        <f>'14_ПР_дин'!#REF!</f>
        <v>#REF!</v>
      </c>
      <c r="AV6" s="32" t="e">
        <f>'14_ПР_дин'!#REF!</f>
        <v>#REF!</v>
      </c>
      <c r="AW6" s="32" t="e">
        <f>'14_ПР_дин'!#REF!</f>
        <v>#REF!</v>
      </c>
      <c r="AX6" s="32" t="e">
        <f>'14_ПР_дин'!#REF!</f>
        <v>#REF!</v>
      </c>
      <c r="AY6" s="32" t="e">
        <f>'14_ПР_дин'!#REF!</f>
        <v>#REF!</v>
      </c>
      <c r="AZ6" s="32" t="e">
        <f>'14_ПР_дин'!#REF!</f>
        <v>#REF!</v>
      </c>
      <c r="BA6" s="32" t="e">
        <f>'14_ПР_дин'!#REF!</f>
        <v>#REF!</v>
      </c>
      <c r="BB6" s="32" t="e">
        <f>'14_ПР_дин'!#REF!</f>
        <v>#REF!</v>
      </c>
      <c r="BC6" s="32" t="e">
        <f>'14_ПР_дин'!#REF!</f>
        <v>#REF!</v>
      </c>
      <c r="BD6" s="32" t="e">
        <f>'14_ПР_дин'!#REF!</f>
        <v>#REF!</v>
      </c>
      <c r="BE6" s="32" t="e">
        <f>'14_ПР_дин'!#REF!</f>
        <v>#REF!</v>
      </c>
      <c r="BF6" s="32" t="e">
        <f>'14_ПР_дин'!#REF!</f>
        <v>#REF!</v>
      </c>
      <c r="BG6" s="32" t="e">
        <f>'14_ПР_дин'!#REF!</f>
        <v>#REF!</v>
      </c>
      <c r="BH6" s="32" t="e">
        <f>'14_ПР_дин'!#REF!</f>
        <v>#REF!</v>
      </c>
      <c r="BI6" s="32" t="e">
        <f>'14_ПР_дин'!#REF!</f>
        <v>#REF!</v>
      </c>
      <c r="BJ6" s="32" t="e">
        <f>'14_ПР_дин'!#REF!</f>
        <v>#REF!</v>
      </c>
    </row>
    <row r="7" spans="1:62" ht="16">
      <c r="A7" s="83">
        <v>3</v>
      </c>
      <c r="B7" s="31" t="s">
        <v>114</v>
      </c>
      <c r="C7" s="32">
        <f>'14_ПР_дин'!B5</f>
        <v>0</v>
      </c>
      <c r="D7" s="32">
        <f>'14_ПР_дин'!C5</f>
        <v>0</v>
      </c>
      <c r="E7" s="32">
        <f>'14_ПР_дин'!D5</f>
        <v>0</v>
      </c>
      <c r="F7" s="32">
        <f>'14_ПР_дин'!E5</f>
        <v>23745.948489295319</v>
      </c>
      <c r="G7" s="32">
        <f>'14_ПР_дин'!F5</f>
        <v>23745.948489295319</v>
      </c>
      <c r="H7" s="32">
        <f>'14_ПР_дин'!G5</f>
        <v>23745.948489295319</v>
      </c>
      <c r="I7" s="32">
        <f>'14_ПР_дин'!H5</f>
        <v>23745.948489295319</v>
      </c>
      <c r="J7" s="32">
        <f>'14_ПР_дин'!I5</f>
        <v>23745.948489295319</v>
      </c>
      <c r="K7" s="32">
        <f>'14_ПР_дин'!J5</f>
        <v>23745.948489295319</v>
      </c>
      <c r="L7" s="32">
        <f>'14_ПР_дин'!K5</f>
        <v>23745.948489295319</v>
      </c>
      <c r="M7" s="32" t="e">
        <f>'14_ПР_дин'!#REF!</f>
        <v>#REF!</v>
      </c>
      <c r="N7" s="32" t="e">
        <f>'14_ПР_дин'!#REF!</f>
        <v>#REF!</v>
      </c>
      <c r="O7" s="32" t="e">
        <f>'14_ПР_дин'!#REF!</f>
        <v>#REF!</v>
      </c>
      <c r="P7" s="32" t="e">
        <f>'14_ПР_дин'!#REF!</f>
        <v>#REF!</v>
      </c>
      <c r="Q7" s="32" t="e">
        <f>'14_ПР_дин'!#REF!</f>
        <v>#REF!</v>
      </c>
      <c r="R7" s="32" t="e">
        <f>'14_ПР_дин'!#REF!</f>
        <v>#REF!</v>
      </c>
      <c r="S7" s="32" t="e">
        <f>'14_ПР_дин'!#REF!</f>
        <v>#REF!</v>
      </c>
      <c r="T7" s="32" t="e">
        <f>'14_ПР_дин'!#REF!</f>
        <v>#REF!</v>
      </c>
      <c r="U7" s="32" t="e">
        <f>'14_ПР_дин'!#REF!</f>
        <v>#REF!</v>
      </c>
      <c r="V7" s="32" t="e">
        <f>'14_ПР_дин'!#REF!</f>
        <v>#REF!</v>
      </c>
      <c r="W7" s="32" t="e">
        <f>'14_ПР_дин'!#REF!</f>
        <v>#REF!</v>
      </c>
      <c r="X7" s="32" t="e">
        <f>'14_ПР_дин'!#REF!</f>
        <v>#REF!</v>
      </c>
      <c r="Y7" s="32" t="e">
        <f>'14_ПР_дин'!#REF!</f>
        <v>#REF!</v>
      </c>
      <c r="Z7" s="32" t="e">
        <f>'14_ПР_дин'!#REF!</f>
        <v>#REF!</v>
      </c>
      <c r="AA7" s="32" t="e">
        <f>'14_ПР_дин'!#REF!</f>
        <v>#REF!</v>
      </c>
      <c r="AB7" s="32" t="e">
        <f>'14_ПР_дин'!#REF!</f>
        <v>#REF!</v>
      </c>
      <c r="AC7" s="32" t="e">
        <f>'14_ПР_дин'!#REF!</f>
        <v>#REF!</v>
      </c>
      <c r="AD7" s="32" t="e">
        <f>'14_ПР_дин'!#REF!</f>
        <v>#REF!</v>
      </c>
      <c r="AE7" s="32" t="e">
        <f>'14_ПР_дин'!#REF!</f>
        <v>#REF!</v>
      </c>
      <c r="AF7" s="32" t="e">
        <f>'14_ПР_дин'!#REF!</f>
        <v>#REF!</v>
      </c>
      <c r="AG7" s="32" t="e">
        <f>'14_ПР_дин'!#REF!</f>
        <v>#REF!</v>
      </c>
      <c r="AH7" s="32" t="e">
        <f>'14_ПР_дин'!#REF!</f>
        <v>#REF!</v>
      </c>
      <c r="AI7" s="32" t="e">
        <f>'14_ПР_дин'!#REF!</f>
        <v>#REF!</v>
      </c>
      <c r="AJ7" s="32" t="e">
        <f>'14_ПР_дин'!#REF!</f>
        <v>#REF!</v>
      </c>
      <c r="AK7" s="32" t="e">
        <f>'14_ПР_дин'!#REF!</f>
        <v>#REF!</v>
      </c>
      <c r="AL7" s="32" t="e">
        <f>'14_ПР_дин'!#REF!</f>
        <v>#REF!</v>
      </c>
      <c r="AM7" s="32" t="e">
        <f>'14_ПР_дин'!#REF!</f>
        <v>#REF!</v>
      </c>
      <c r="AN7" s="32" t="e">
        <f>'14_ПР_дин'!#REF!</f>
        <v>#REF!</v>
      </c>
      <c r="AO7" s="32" t="e">
        <f>'14_ПР_дин'!#REF!</f>
        <v>#REF!</v>
      </c>
      <c r="AP7" s="32" t="e">
        <f>'14_ПР_дин'!#REF!</f>
        <v>#REF!</v>
      </c>
      <c r="AQ7" s="32" t="e">
        <f>'14_ПР_дин'!#REF!</f>
        <v>#REF!</v>
      </c>
      <c r="AR7" s="32" t="e">
        <f>'14_ПР_дин'!#REF!</f>
        <v>#REF!</v>
      </c>
      <c r="AS7" s="32" t="e">
        <f>'14_ПР_дин'!#REF!</f>
        <v>#REF!</v>
      </c>
      <c r="AT7" s="32" t="e">
        <f>'14_ПР_дин'!#REF!</f>
        <v>#REF!</v>
      </c>
      <c r="AU7" s="32" t="e">
        <f>'14_ПР_дин'!#REF!</f>
        <v>#REF!</v>
      </c>
      <c r="AV7" s="32" t="e">
        <f>'14_ПР_дин'!#REF!</f>
        <v>#REF!</v>
      </c>
      <c r="AW7" s="32" t="e">
        <f>'14_ПР_дин'!#REF!</f>
        <v>#REF!</v>
      </c>
      <c r="AX7" s="32" t="e">
        <f>'14_ПР_дин'!#REF!</f>
        <v>#REF!</v>
      </c>
      <c r="AY7" s="32" t="e">
        <f>'14_ПР_дин'!#REF!</f>
        <v>#REF!</v>
      </c>
      <c r="AZ7" s="32" t="e">
        <f>'14_ПР_дин'!#REF!</f>
        <v>#REF!</v>
      </c>
      <c r="BA7" s="32" t="e">
        <f>'14_ПР_дин'!#REF!</f>
        <v>#REF!</v>
      </c>
      <c r="BB7" s="32" t="e">
        <f>'14_ПР_дин'!#REF!</f>
        <v>#REF!</v>
      </c>
      <c r="BC7" s="32" t="e">
        <f>'14_ПР_дин'!#REF!</f>
        <v>#REF!</v>
      </c>
      <c r="BD7" s="32" t="e">
        <f>'14_ПР_дин'!#REF!</f>
        <v>#REF!</v>
      </c>
      <c r="BE7" s="32" t="e">
        <f>'14_ПР_дин'!#REF!</f>
        <v>#REF!</v>
      </c>
      <c r="BF7" s="32" t="e">
        <f>'14_ПР_дин'!#REF!</f>
        <v>#REF!</v>
      </c>
      <c r="BG7" s="32" t="e">
        <f>'14_ПР_дин'!#REF!</f>
        <v>#REF!</v>
      </c>
      <c r="BH7" s="32" t="e">
        <f>'14_ПР_дин'!#REF!</f>
        <v>#REF!</v>
      </c>
      <c r="BI7" s="32" t="e">
        <f>'14_ПР_дин'!#REF!</f>
        <v>#REF!</v>
      </c>
      <c r="BJ7" s="32" t="e">
        <f>'14_ПР_дин'!#REF!</f>
        <v>#REF!</v>
      </c>
    </row>
    <row r="8" spans="1:62" ht="16">
      <c r="A8" s="83">
        <v>4</v>
      </c>
      <c r="B8" s="31" t="s">
        <v>51</v>
      </c>
      <c r="C8" s="32" t="e">
        <f>'14_ПР_дин'!B4+'9_Пр-во'!#REF!*'11_Цены_СиМ'!#REF!*Курс!C2/1000</f>
        <v>#REF!</v>
      </c>
      <c r="D8" s="32" t="e">
        <f>'14_ПР_дин'!C4+'9_Пр-во'!#REF!*'11_Цены_СиМ'!#REF!*Курс!D2/1000</f>
        <v>#REF!</v>
      </c>
      <c r="E8" s="32" t="e">
        <f>'14_ПР_дин'!D4+'9_Пр-во'!#REF!*'11_Цены_СиМ'!#REF!*Курс!E2/1000</f>
        <v>#REF!</v>
      </c>
      <c r="F8" s="32" t="e">
        <f>'14_ПР_дин'!E4+'9_Пр-во'!#REF!*'11_Цены_СиМ'!#REF!*Курс!F2/1000</f>
        <v>#REF!</v>
      </c>
      <c r="G8" s="32" t="e">
        <f>'14_ПР_дин'!F4+'9_Пр-во'!#REF!*'11_Цены_СиМ'!#REF!*Курс!G2/1000</f>
        <v>#REF!</v>
      </c>
      <c r="H8" s="32" t="e">
        <f>'14_ПР_дин'!G4+'9_Пр-во'!#REF!*'11_Цены_СиМ'!#REF!*Курс!H2/1000</f>
        <v>#REF!</v>
      </c>
      <c r="I8" s="32" t="e">
        <f>'14_ПР_дин'!H4+'9_Пр-во'!#REF!*'11_Цены_СиМ'!#REF!*Курс!I2/1000</f>
        <v>#REF!</v>
      </c>
      <c r="J8" s="32" t="e">
        <f>'14_ПР_дин'!I4+'9_Пр-во'!#REF!*'11_Цены_СиМ'!#REF!*Курс!J2/1000</f>
        <v>#REF!</v>
      </c>
      <c r="K8" s="32" t="e">
        <f>'14_ПР_дин'!J4+'9_Пр-во'!#REF!*'11_Цены_СиМ'!#REF!*Курс!K2/1000</f>
        <v>#REF!</v>
      </c>
      <c r="L8" s="32" t="e">
        <f>'14_ПР_дин'!K4+'9_Пр-во'!#REF!*'11_Цены_СиМ'!#REF!*Курс!L2/1000</f>
        <v>#REF!</v>
      </c>
      <c r="M8" s="32" t="e">
        <f>'14_ПР_дин'!#REF!+'9_Пр-во'!#REF!*'11_Цены_СиМ'!#REF!*Курс!M2/1000</f>
        <v>#REF!</v>
      </c>
      <c r="N8" s="32" t="e">
        <f>'14_ПР_дин'!#REF!+'9_Пр-во'!#REF!*'11_Цены_СиМ'!#REF!*Курс!N2/1000</f>
        <v>#REF!</v>
      </c>
      <c r="O8" s="32" t="e">
        <f>'14_ПР_дин'!#REF!+'9_Пр-во'!#REF!*'11_Цены_СиМ'!#REF!*Курс!O2/1000</f>
        <v>#REF!</v>
      </c>
      <c r="P8" s="32" t="e">
        <f>'14_ПР_дин'!#REF!+'9_Пр-во'!#REF!*'11_Цены_СиМ'!#REF!*Курс!P2/1000</f>
        <v>#REF!</v>
      </c>
      <c r="Q8" s="32" t="e">
        <f>'14_ПР_дин'!#REF!+'9_Пр-во'!#REF!*'11_Цены_СиМ'!#REF!*Курс!Q2/1000</f>
        <v>#REF!</v>
      </c>
      <c r="R8" s="32" t="e">
        <f>'14_ПР_дин'!#REF!+'9_Пр-во'!#REF!*'11_Цены_СиМ'!#REF!*Курс!R2/1000</f>
        <v>#REF!</v>
      </c>
      <c r="S8" s="32" t="e">
        <f>'14_ПР_дин'!#REF!+'9_Пр-во'!#REF!*'11_Цены_СиМ'!#REF!*Курс!S2/1000</f>
        <v>#REF!</v>
      </c>
      <c r="T8" s="32" t="e">
        <f>'14_ПР_дин'!#REF!+'9_Пр-во'!#REF!*'11_Цены_СиМ'!#REF!*Курс!T2/1000</f>
        <v>#REF!</v>
      </c>
      <c r="U8" s="32" t="e">
        <f>'14_ПР_дин'!#REF!+'9_Пр-во'!#REF!*'11_Цены_СиМ'!#REF!*Курс!U2/1000</f>
        <v>#REF!</v>
      </c>
      <c r="V8" s="32" t="e">
        <f>'14_ПР_дин'!#REF!+'9_Пр-во'!#REF!*'11_Цены_СиМ'!#REF!*Курс!V2/1000</f>
        <v>#REF!</v>
      </c>
      <c r="W8" s="32" t="e">
        <f>'14_ПР_дин'!#REF!+'9_Пр-во'!#REF!*'11_Цены_СиМ'!#REF!*Курс!W2/1000</f>
        <v>#REF!</v>
      </c>
      <c r="X8" s="32" t="e">
        <f>'14_ПР_дин'!#REF!+'9_Пр-во'!#REF!*'11_Цены_СиМ'!#REF!*Курс!X2/1000</f>
        <v>#REF!</v>
      </c>
      <c r="Y8" s="32" t="e">
        <f>'14_ПР_дин'!#REF!+'9_Пр-во'!#REF!*'11_Цены_СиМ'!#REF!*Курс!Y2/1000</f>
        <v>#REF!</v>
      </c>
      <c r="Z8" s="32" t="e">
        <f>'14_ПР_дин'!#REF!+'9_Пр-во'!#REF!*'11_Цены_СиМ'!#REF!*Курс!Z2/1000</f>
        <v>#REF!</v>
      </c>
      <c r="AA8" s="32" t="e">
        <f>'14_ПР_дин'!#REF!+'9_Пр-во'!#REF!*'11_Цены_СиМ'!#REF!*Курс!AA2/1000</f>
        <v>#REF!</v>
      </c>
      <c r="AB8" s="32" t="e">
        <f>'14_ПР_дин'!#REF!+'9_Пр-во'!#REF!*'11_Цены_СиМ'!#REF!*Курс!AB2/1000</f>
        <v>#REF!</v>
      </c>
      <c r="AC8" s="32" t="e">
        <f>'14_ПР_дин'!#REF!+'9_Пр-во'!#REF!*'11_Цены_СиМ'!#REF!*Курс!AC2/1000</f>
        <v>#REF!</v>
      </c>
      <c r="AD8" s="32" t="e">
        <f>'14_ПР_дин'!#REF!+'9_Пр-во'!#REF!*'11_Цены_СиМ'!#REF!*Курс!AD2/1000</f>
        <v>#REF!</v>
      </c>
      <c r="AE8" s="32" t="e">
        <f>'14_ПР_дин'!#REF!+'9_Пр-во'!#REF!*'11_Цены_СиМ'!#REF!*Курс!AE2/1000</f>
        <v>#REF!</v>
      </c>
      <c r="AF8" s="32" t="e">
        <f>'14_ПР_дин'!#REF!+'9_Пр-во'!#REF!*'11_Цены_СиМ'!#REF!*Курс!AF2/1000</f>
        <v>#REF!</v>
      </c>
      <c r="AG8" s="32" t="e">
        <f>'14_ПР_дин'!#REF!+'9_Пр-во'!#REF!*'11_Цены_СиМ'!#REF!*Курс!AG2/1000</f>
        <v>#REF!</v>
      </c>
      <c r="AH8" s="32" t="e">
        <f>'14_ПР_дин'!#REF!+'9_Пр-во'!#REF!*'11_Цены_СиМ'!#REF!*Курс!AH2/1000</f>
        <v>#REF!</v>
      </c>
      <c r="AI8" s="32" t="e">
        <f>'14_ПР_дин'!#REF!+'9_Пр-во'!#REF!*'11_Цены_СиМ'!#REF!*Курс!AI2/1000</f>
        <v>#REF!</v>
      </c>
      <c r="AJ8" s="32" t="e">
        <f>'14_ПР_дин'!#REF!+'9_Пр-во'!#REF!*'11_Цены_СиМ'!#REF!*Курс!AJ2/1000</f>
        <v>#REF!</v>
      </c>
      <c r="AK8" s="32" t="e">
        <f>'14_ПР_дин'!#REF!+'9_Пр-во'!#REF!*'11_Цены_СиМ'!#REF!*Курс!AK2/1000</f>
        <v>#REF!</v>
      </c>
      <c r="AL8" s="32" t="e">
        <f>'14_ПР_дин'!#REF!+'9_Пр-во'!#REF!*'11_Цены_СиМ'!#REF!*Курс!AL2/1000</f>
        <v>#REF!</v>
      </c>
      <c r="AM8" s="32" t="e">
        <f>'14_ПР_дин'!#REF!+'9_Пр-во'!#REF!*'11_Цены_СиМ'!#REF!*Курс!AM2/1000</f>
        <v>#REF!</v>
      </c>
      <c r="AN8" s="32" t="e">
        <f>'14_ПР_дин'!#REF!+'9_Пр-во'!#REF!*'11_Цены_СиМ'!#REF!*Курс!AN2/1000</f>
        <v>#REF!</v>
      </c>
      <c r="AO8" s="32" t="e">
        <f>'14_ПР_дин'!#REF!+'9_Пр-во'!#REF!*'11_Цены_СиМ'!#REF!*Курс!AO2/1000</f>
        <v>#REF!</v>
      </c>
      <c r="AP8" s="32" t="e">
        <f>'14_ПР_дин'!#REF!+'9_Пр-во'!#REF!*'11_Цены_СиМ'!#REF!*Курс!AP2/1000</f>
        <v>#REF!</v>
      </c>
      <c r="AQ8" s="32" t="e">
        <f>'14_ПР_дин'!#REF!+'9_Пр-во'!#REF!*'11_Цены_СиМ'!#REF!*Курс!AQ2/1000</f>
        <v>#REF!</v>
      </c>
      <c r="AR8" s="32" t="e">
        <f>'14_ПР_дин'!#REF!+'9_Пр-во'!#REF!*'11_Цены_СиМ'!#REF!*Курс!AR2/1000</f>
        <v>#REF!</v>
      </c>
      <c r="AS8" s="32" t="e">
        <f>'14_ПР_дин'!#REF!+'9_Пр-во'!#REF!*'11_Цены_СиМ'!#REF!*Курс!AS2/1000</f>
        <v>#REF!</v>
      </c>
      <c r="AT8" s="32" t="e">
        <f>'14_ПР_дин'!#REF!+'9_Пр-во'!#REF!*'11_Цены_СиМ'!#REF!*Курс!AT2/1000</f>
        <v>#REF!</v>
      </c>
      <c r="AU8" s="32" t="e">
        <f>'14_ПР_дин'!#REF!+'9_Пр-во'!#REF!*'11_Цены_СиМ'!#REF!*Курс!AU2/1000</f>
        <v>#REF!</v>
      </c>
      <c r="AV8" s="32" t="e">
        <f>'14_ПР_дин'!#REF!+'9_Пр-во'!#REF!*'11_Цены_СиМ'!#REF!*Курс!AV2/1000</f>
        <v>#REF!</v>
      </c>
      <c r="AW8" s="32" t="e">
        <f>'14_ПР_дин'!#REF!+'9_Пр-во'!#REF!*'11_Цены_СиМ'!#REF!*Курс!AW2/1000</f>
        <v>#REF!</v>
      </c>
      <c r="AX8" s="32" t="e">
        <f>'14_ПР_дин'!#REF!+'9_Пр-во'!#REF!*'11_Цены_СиМ'!#REF!*Курс!AX2/1000</f>
        <v>#REF!</v>
      </c>
      <c r="AY8" s="32" t="e">
        <f>'14_ПР_дин'!#REF!+'9_Пр-во'!#REF!*'11_Цены_СиМ'!#REF!*Курс!AY2/1000</f>
        <v>#REF!</v>
      </c>
      <c r="AZ8" s="32" t="e">
        <f>'14_ПР_дин'!#REF!+'9_Пр-во'!#REF!*'11_Цены_СиМ'!#REF!*Курс!AZ2/1000</f>
        <v>#REF!</v>
      </c>
      <c r="BA8" s="32" t="e">
        <f>'14_ПР_дин'!#REF!+'9_Пр-во'!#REF!*'11_Цены_СиМ'!#REF!*Курс!BA2/1000</f>
        <v>#REF!</v>
      </c>
      <c r="BB8" s="32" t="e">
        <f>'14_ПР_дин'!#REF!+'9_Пр-во'!#REF!*'11_Цены_СиМ'!#REF!*Курс!BB2/1000</f>
        <v>#REF!</v>
      </c>
      <c r="BC8" s="32" t="e">
        <f>'14_ПР_дин'!#REF!+'9_Пр-во'!#REF!*'11_Цены_СиМ'!#REF!*Курс!BC2/1000</f>
        <v>#REF!</v>
      </c>
      <c r="BD8" s="32" t="e">
        <f>'14_ПР_дин'!#REF!+'9_Пр-во'!#REF!*'11_Цены_СиМ'!#REF!*Курс!BD2/1000</f>
        <v>#REF!</v>
      </c>
      <c r="BE8" s="32" t="e">
        <f>'14_ПР_дин'!#REF!+'9_Пр-во'!#REF!*'11_Цены_СиМ'!#REF!*Курс!BE2/1000</f>
        <v>#REF!</v>
      </c>
      <c r="BF8" s="32" t="e">
        <f>'14_ПР_дин'!#REF!+'9_Пр-во'!#REF!*'11_Цены_СиМ'!#REF!*Курс!BF2/1000</f>
        <v>#REF!</v>
      </c>
      <c r="BG8" s="32" t="e">
        <f>'14_ПР_дин'!#REF!+'9_Пр-во'!#REF!*'11_Цены_СиМ'!#REF!*Курс!BG2/1000</f>
        <v>#REF!</v>
      </c>
      <c r="BH8" s="32" t="e">
        <f>'14_ПР_дин'!#REF!+'9_Пр-во'!#REF!*'11_Цены_СиМ'!#REF!*Курс!BH2/1000</f>
        <v>#REF!</v>
      </c>
      <c r="BI8" s="32" t="e">
        <f>'14_ПР_дин'!#REF!+'9_Пр-во'!#REF!*'11_Цены_СиМ'!#REF!*Курс!BI2/1000</f>
        <v>#REF!</v>
      </c>
      <c r="BJ8" s="32" t="e">
        <f>'14_ПР_дин'!#REF!+'9_Пр-во'!#REF!*'11_Цены_СиМ'!#REF!*Курс!BJ2/1000</f>
        <v>#REF!</v>
      </c>
    </row>
    <row r="9" spans="1:62" ht="16">
      <c r="A9" s="67"/>
      <c r="B9" s="103" t="s">
        <v>3</v>
      </c>
      <c r="C9" s="68" t="e">
        <f>SUM(C2+C5+C6+C7+C8)</f>
        <v>#REF!</v>
      </c>
      <c r="D9" s="68" t="e">
        <f t="shared" ref="D9:N9" si="2">SUM(D2+D5+D6+D7+D8)</f>
        <v>#REF!</v>
      </c>
      <c r="E9" s="68" t="e">
        <f t="shared" si="2"/>
        <v>#REF!</v>
      </c>
      <c r="F9" s="68" t="e">
        <f t="shared" si="2"/>
        <v>#REF!</v>
      </c>
      <c r="G9" s="68" t="e">
        <f t="shared" si="2"/>
        <v>#REF!</v>
      </c>
      <c r="H9" s="68" t="e">
        <f t="shared" si="2"/>
        <v>#REF!</v>
      </c>
      <c r="I9" s="68" t="e">
        <f t="shared" si="2"/>
        <v>#REF!</v>
      </c>
      <c r="J9" s="68" t="e">
        <f t="shared" si="2"/>
        <v>#REF!</v>
      </c>
      <c r="K9" s="68" t="e">
        <f t="shared" si="2"/>
        <v>#REF!</v>
      </c>
      <c r="L9" s="68" t="e">
        <f t="shared" si="2"/>
        <v>#REF!</v>
      </c>
      <c r="M9" s="68" t="e">
        <f t="shared" si="2"/>
        <v>#REF!</v>
      </c>
      <c r="N9" s="68" t="e">
        <f t="shared" si="2"/>
        <v>#REF!</v>
      </c>
      <c r="O9" s="68" t="e">
        <f>O2+O6+O7+O8</f>
        <v>#REF!</v>
      </c>
      <c r="P9" s="68" t="e">
        <f t="shared" ref="P9:BJ9" si="3">P2+P6+P7+P8</f>
        <v>#REF!</v>
      </c>
      <c r="Q9" s="68" t="e">
        <f t="shared" si="3"/>
        <v>#REF!</v>
      </c>
      <c r="R9" s="68" t="e">
        <f t="shared" si="3"/>
        <v>#REF!</v>
      </c>
      <c r="S9" s="68" t="e">
        <f t="shared" si="3"/>
        <v>#REF!</v>
      </c>
      <c r="T9" s="68" t="e">
        <f t="shared" si="3"/>
        <v>#REF!</v>
      </c>
      <c r="U9" s="68" t="e">
        <f t="shared" si="3"/>
        <v>#REF!</v>
      </c>
      <c r="V9" s="68" t="e">
        <f t="shared" si="3"/>
        <v>#REF!</v>
      </c>
      <c r="W9" s="68" t="e">
        <f t="shared" si="3"/>
        <v>#REF!</v>
      </c>
      <c r="X9" s="68" t="e">
        <f t="shared" si="3"/>
        <v>#REF!</v>
      </c>
      <c r="Y9" s="68" t="e">
        <f t="shared" si="3"/>
        <v>#REF!</v>
      </c>
      <c r="Z9" s="68" t="e">
        <f t="shared" si="3"/>
        <v>#REF!</v>
      </c>
      <c r="AA9" s="68" t="e">
        <f t="shared" si="3"/>
        <v>#REF!</v>
      </c>
      <c r="AB9" s="68" t="e">
        <f t="shared" si="3"/>
        <v>#REF!</v>
      </c>
      <c r="AC9" s="68" t="e">
        <f t="shared" si="3"/>
        <v>#REF!</v>
      </c>
      <c r="AD9" s="68" t="e">
        <f t="shared" si="3"/>
        <v>#REF!</v>
      </c>
      <c r="AE9" s="68" t="e">
        <f t="shared" si="3"/>
        <v>#REF!</v>
      </c>
      <c r="AF9" s="68" t="e">
        <f t="shared" si="3"/>
        <v>#REF!</v>
      </c>
      <c r="AG9" s="68" t="e">
        <f t="shared" si="3"/>
        <v>#REF!</v>
      </c>
      <c r="AH9" s="68" t="e">
        <f t="shared" si="3"/>
        <v>#REF!</v>
      </c>
      <c r="AI9" s="68" t="e">
        <f t="shared" si="3"/>
        <v>#REF!</v>
      </c>
      <c r="AJ9" s="68" t="e">
        <f t="shared" si="3"/>
        <v>#REF!</v>
      </c>
      <c r="AK9" s="68" t="e">
        <f t="shared" si="3"/>
        <v>#REF!</v>
      </c>
      <c r="AL9" s="68" t="e">
        <f t="shared" si="3"/>
        <v>#REF!</v>
      </c>
      <c r="AM9" s="68" t="e">
        <f t="shared" si="3"/>
        <v>#REF!</v>
      </c>
      <c r="AN9" s="68" t="e">
        <f t="shared" si="3"/>
        <v>#REF!</v>
      </c>
      <c r="AO9" s="68" t="e">
        <f t="shared" si="3"/>
        <v>#REF!</v>
      </c>
      <c r="AP9" s="68" t="e">
        <f t="shared" si="3"/>
        <v>#REF!</v>
      </c>
      <c r="AQ9" s="68" t="e">
        <f t="shared" si="3"/>
        <v>#REF!</v>
      </c>
      <c r="AR9" s="68" t="e">
        <f t="shared" si="3"/>
        <v>#REF!</v>
      </c>
      <c r="AS9" s="68" t="e">
        <f t="shared" si="3"/>
        <v>#REF!</v>
      </c>
      <c r="AT9" s="68" t="e">
        <f t="shared" si="3"/>
        <v>#REF!</v>
      </c>
      <c r="AU9" s="68" t="e">
        <f t="shared" si="3"/>
        <v>#REF!</v>
      </c>
      <c r="AV9" s="68" t="e">
        <f t="shared" si="3"/>
        <v>#REF!</v>
      </c>
      <c r="AW9" s="68" t="e">
        <f t="shared" si="3"/>
        <v>#REF!</v>
      </c>
      <c r="AX9" s="68" t="e">
        <f t="shared" si="3"/>
        <v>#REF!</v>
      </c>
      <c r="AY9" s="68" t="e">
        <f t="shared" si="3"/>
        <v>#REF!</v>
      </c>
      <c r="AZ9" s="68" t="e">
        <f t="shared" si="3"/>
        <v>#REF!</v>
      </c>
      <c r="BA9" s="68" t="e">
        <f t="shared" si="3"/>
        <v>#REF!</v>
      </c>
      <c r="BB9" s="68" t="e">
        <f t="shared" si="3"/>
        <v>#REF!</v>
      </c>
      <c r="BC9" s="68" t="e">
        <f t="shared" si="3"/>
        <v>#REF!</v>
      </c>
      <c r="BD9" s="68" t="e">
        <f t="shared" si="3"/>
        <v>#REF!</v>
      </c>
      <c r="BE9" s="68" t="e">
        <f t="shared" si="3"/>
        <v>#REF!</v>
      </c>
      <c r="BF9" s="68" t="e">
        <f t="shared" si="3"/>
        <v>#REF!</v>
      </c>
      <c r="BG9" s="68" t="e">
        <f t="shared" si="3"/>
        <v>#REF!</v>
      </c>
      <c r="BH9" s="68" t="e">
        <f t="shared" si="3"/>
        <v>#REF!</v>
      </c>
      <c r="BI9" s="68" t="e">
        <f t="shared" si="3"/>
        <v>#REF!</v>
      </c>
      <c r="BJ9" s="68" t="e">
        <f t="shared" si="3"/>
        <v>#REF!</v>
      </c>
    </row>
    <row r="10" spans="1:62" ht="29.25" customHeight="1">
      <c r="A10" s="104"/>
      <c r="B10" s="105" t="s">
        <v>288</v>
      </c>
      <c r="C10" s="106" t="e">
        <f>'20_Tax'!$C$4*(Расх_дин!C9-'14_ПР_дин'!#REF!)</f>
        <v>#REF!</v>
      </c>
      <c r="D10" s="106" t="e">
        <f>'20_Tax'!$C$4*(Расх_дин!D9-'14_ПР_дин'!#REF!)</f>
        <v>#REF!</v>
      </c>
      <c r="E10" s="106" t="e">
        <f>'20_Tax'!$C$4*(Расх_дин!E9-'14_ПР_дин'!#REF!)</f>
        <v>#REF!</v>
      </c>
      <c r="F10" s="106" t="e">
        <f>'20_Tax'!$C$4*(Расх_дин!F9-'14_ПР_дин'!#REF!)</f>
        <v>#REF!</v>
      </c>
      <c r="G10" s="106" t="e">
        <f>'20_Tax'!$C$4*(Расх_дин!G9-'14_ПР_дин'!#REF!)</f>
        <v>#REF!</v>
      </c>
      <c r="H10" s="106" t="e">
        <f>'20_Tax'!$C$4*(Расх_дин!H9-'14_ПР_дин'!#REF!)</f>
        <v>#REF!</v>
      </c>
      <c r="I10" s="106" t="e">
        <f>'20_Tax'!$C$4*(Расх_дин!I9-'14_ПР_дин'!#REF!)</f>
        <v>#REF!</v>
      </c>
      <c r="J10" s="106" t="e">
        <f>'20_Tax'!$C$4*(Расх_дин!J9-'14_ПР_дин'!#REF!)</f>
        <v>#REF!</v>
      </c>
      <c r="K10" s="106" t="e">
        <f>'20_Tax'!$C$4*(Расх_дин!K9-'14_ПР_дин'!#REF!)</f>
        <v>#REF!</v>
      </c>
      <c r="L10" s="106" t="e">
        <f>'20_Tax'!$C$4*(Расх_дин!L9-'14_ПР_дин'!#REF!)</f>
        <v>#REF!</v>
      </c>
      <c r="M10" s="106" t="e">
        <f>'20_Tax'!$C$4*(Расх_дин!M9-'14_ПР_дин'!#REF!)</f>
        <v>#REF!</v>
      </c>
      <c r="N10" s="106" t="e">
        <f>'20_Tax'!$C$4*(Расх_дин!N9-'14_ПР_дин'!#REF!)</f>
        <v>#REF!</v>
      </c>
      <c r="O10" s="106" t="e">
        <f>'20_Tax'!$C$4*(Расх_дин!O9-'14_ПР_дин'!#REF!)</f>
        <v>#REF!</v>
      </c>
      <c r="P10" s="106" t="e">
        <f>'20_Tax'!$C$4*(Расх_дин!P9-'14_ПР_дин'!#REF!)</f>
        <v>#REF!</v>
      </c>
      <c r="Q10" s="106" t="e">
        <f>'20_Tax'!$C$4*(Расх_дин!Q9-'14_ПР_дин'!#REF!)</f>
        <v>#REF!</v>
      </c>
      <c r="R10" s="106" t="e">
        <f>'20_Tax'!$C$4*(Расх_дин!R9-'14_ПР_дин'!#REF!)</f>
        <v>#REF!</v>
      </c>
      <c r="S10" s="106" t="e">
        <f>'20_Tax'!$C$4*(Расх_дин!S9-'14_ПР_дин'!#REF!)</f>
        <v>#REF!</v>
      </c>
      <c r="T10" s="106" t="e">
        <f>'20_Tax'!$C$4*(Расх_дин!T9-'14_ПР_дин'!#REF!)</f>
        <v>#REF!</v>
      </c>
      <c r="U10" s="106" t="e">
        <f>'20_Tax'!$C$4*(Расх_дин!U9-'14_ПР_дин'!#REF!)</f>
        <v>#REF!</v>
      </c>
      <c r="V10" s="106" t="e">
        <f>'20_Tax'!$C$4*(Расх_дин!V9-'14_ПР_дин'!#REF!)</f>
        <v>#REF!</v>
      </c>
      <c r="W10" s="106" t="e">
        <f>'20_Tax'!$C$4*(Расх_дин!W9-'14_ПР_дин'!#REF!)</f>
        <v>#REF!</v>
      </c>
      <c r="X10" s="106" t="e">
        <f>'20_Tax'!$C$4*(Расх_дин!X9-'14_ПР_дин'!#REF!)</f>
        <v>#REF!</v>
      </c>
      <c r="Y10" s="106" t="e">
        <f>'20_Tax'!$C$4*(Расх_дин!Y9-'14_ПР_дин'!#REF!)</f>
        <v>#REF!</v>
      </c>
      <c r="Z10" s="106" t="e">
        <f>'20_Tax'!$C$4*(Расх_дин!Z9-'14_ПР_дин'!#REF!)</f>
        <v>#REF!</v>
      </c>
      <c r="AA10" s="106" t="e">
        <f>'20_Tax'!$C$4*(Расх_дин!AA9-'14_ПР_дин'!#REF!)</f>
        <v>#REF!</v>
      </c>
      <c r="AB10" s="106" t="e">
        <f>'20_Tax'!$C$4*(Расх_дин!AB9-'14_ПР_дин'!#REF!)</f>
        <v>#REF!</v>
      </c>
      <c r="AC10" s="106" t="e">
        <f>'20_Tax'!$C$4*(Расх_дин!AC9-'14_ПР_дин'!#REF!)</f>
        <v>#REF!</v>
      </c>
      <c r="AD10" s="106" t="e">
        <f>'20_Tax'!$C$4*(Расх_дин!AD9-'14_ПР_дин'!#REF!)</f>
        <v>#REF!</v>
      </c>
      <c r="AE10" s="106" t="e">
        <f>'20_Tax'!$C$4*(Расх_дин!AE9-'14_ПР_дин'!#REF!)</f>
        <v>#REF!</v>
      </c>
      <c r="AF10" s="106" t="e">
        <f>'20_Tax'!$C$4*(Расх_дин!AF9-'14_ПР_дин'!#REF!)</f>
        <v>#REF!</v>
      </c>
      <c r="AG10" s="106" t="e">
        <f>'20_Tax'!$C$4*(Расх_дин!AG9-'14_ПР_дин'!#REF!)</f>
        <v>#REF!</v>
      </c>
      <c r="AH10" s="106" t="e">
        <f>'20_Tax'!$C$4*(Расх_дин!AH9-'14_ПР_дин'!#REF!)</f>
        <v>#REF!</v>
      </c>
      <c r="AI10" s="106" t="e">
        <f>'20_Tax'!$C$4*(Расх_дин!AI9-'14_ПР_дин'!#REF!)</f>
        <v>#REF!</v>
      </c>
      <c r="AJ10" s="106" t="e">
        <f>'20_Tax'!$C$4*(Расх_дин!AJ9-'14_ПР_дин'!#REF!)</f>
        <v>#REF!</v>
      </c>
      <c r="AK10" s="106" t="e">
        <f>'20_Tax'!$C$4*(Расх_дин!AK9-'14_ПР_дин'!#REF!)</f>
        <v>#REF!</v>
      </c>
      <c r="AL10" s="106" t="e">
        <f>'20_Tax'!$C$4*(Расх_дин!AL9-'14_ПР_дин'!#REF!)</f>
        <v>#REF!</v>
      </c>
      <c r="AM10" s="106" t="e">
        <f>'20_Tax'!$C$4*(Расх_дин!AM9-'14_ПР_дин'!#REF!)</f>
        <v>#REF!</v>
      </c>
      <c r="AN10" s="106" t="e">
        <f>'20_Tax'!$C$4*(Расх_дин!AN9-'14_ПР_дин'!#REF!)</f>
        <v>#REF!</v>
      </c>
      <c r="AO10" s="106" t="e">
        <f>'20_Tax'!$C$4*(Расх_дин!AO9-'14_ПР_дин'!#REF!)</f>
        <v>#REF!</v>
      </c>
      <c r="AP10" s="106" t="e">
        <f>'20_Tax'!$C$4*(Расх_дин!AP9-'14_ПР_дин'!#REF!)</f>
        <v>#REF!</v>
      </c>
      <c r="AQ10" s="106" t="e">
        <f>'20_Tax'!$C$4*(Расх_дин!AQ9-'14_ПР_дин'!#REF!)</f>
        <v>#REF!</v>
      </c>
      <c r="AR10" s="106" t="e">
        <f>'20_Tax'!$C$4*(Расх_дин!AR9-'14_ПР_дин'!#REF!)</f>
        <v>#REF!</v>
      </c>
      <c r="AS10" s="106" t="e">
        <f>'20_Tax'!$C$4*(Расх_дин!AS9-'14_ПР_дин'!#REF!)</f>
        <v>#REF!</v>
      </c>
      <c r="AT10" s="106" t="e">
        <f>'20_Tax'!$C$4*(Расх_дин!AT9-'14_ПР_дин'!#REF!)</f>
        <v>#REF!</v>
      </c>
      <c r="AU10" s="106" t="e">
        <f>'20_Tax'!$C$4*(Расх_дин!AU9-'14_ПР_дин'!#REF!)</f>
        <v>#REF!</v>
      </c>
      <c r="AV10" s="106" t="e">
        <f>'20_Tax'!$C$4*(Расх_дин!AV9-'14_ПР_дин'!#REF!)</f>
        <v>#REF!</v>
      </c>
      <c r="AW10" s="106" t="e">
        <f>'20_Tax'!$C$4*(Расх_дин!AW9-'14_ПР_дин'!#REF!)</f>
        <v>#REF!</v>
      </c>
      <c r="AX10" s="106" t="e">
        <f>'20_Tax'!$C$4*(Расх_дин!AX9-'14_ПР_дин'!#REF!)</f>
        <v>#REF!</v>
      </c>
      <c r="AY10" s="106" t="e">
        <f>'20_Tax'!$C$4*(Расх_дин!AY9-'14_ПР_дин'!#REF!)</f>
        <v>#REF!</v>
      </c>
      <c r="AZ10" s="106" t="e">
        <f>'20_Tax'!$C$4*(Расх_дин!AZ9-'14_ПР_дин'!#REF!)</f>
        <v>#REF!</v>
      </c>
      <c r="BA10" s="106" t="e">
        <f>'20_Tax'!$C$4*(Расх_дин!BA9-'14_ПР_дин'!#REF!)</f>
        <v>#REF!</v>
      </c>
      <c r="BB10" s="106" t="e">
        <f>'20_Tax'!$C$4*(Расх_дин!BB9-'14_ПР_дин'!#REF!)</f>
        <v>#REF!</v>
      </c>
      <c r="BC10" s="106" t="e">
        <f>'20_Tax'!$C$4*(Расх_дин!BC9-'14_ПР_дин'!#REF!)</f>
        <v>#REF!</v>
      </c>
      <c r="BD10" s="106" t="e">
        <f>'20_Tax'!$C$4*(Расх_дин!BD9-'14_ПР_дин'!#REF!)</f>
        <v>#REF!</v>
      </c>
      <c r="BE10" s="106" t="e">
        <f>'20_Tax'!$C$4*(Расх_дин!BE9-'14_ПР_дин'!#REF!)</f>
        <v>#REF!</v>
      </c>
      <c r="BF10" s="106" t="e">
        <f>'20_Tax'!$C$4*(Расх_дин!BF9-'14_ПР_дин'!#REF!)</f>
        <v>#REF!</v>
      </c>
      <c r="BG10" s="106" t="e">
        <f>'20_Tax'!$C$4*(Расх_дин!BG9-'14_ПР_дин'!#REF!)</f>
        <v>#REF!</v>
      </c>
      <c r="BH10" s="106" t="e">
        <f>'20_Tax'!$C$4*(Расх_дин!BH9-'14_ПР_дин'!#REF!)</f>
        <v>#REF!</v>
      </c>
      <c r="BI10" s="106" t="e">
        <f>'20_Tax'!$C$4*(Расх_дин!BI9-'14_ПР_дин'!#REF!)</f>
        <v>#REF!</v>
      </c>
      <c r="BJ10" s="106" t="e">
        <f>'20_Tax'!$C$4*(Расх_дин!BJ9-'14_ПР_дин'!#REF!)</f>
        <v>#REF!</v>
      </c>
    </row>
  </sheetData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CF889-6960-1146-A120-2DFB30453255}">
  <dimension ref="A1:P15"/>
  <sheetViews>
    <sheetView zoomScale="120" zoomScaleNormal="120" workbookViewId="0">
      <selection activeCell="L19" sqref="L19"/>
    </sheetView>
  </sheetViews>
  <sheetFormatPr baseColWidth="10" defaultColWidth="9.1640625" defaultRowHeight="15"/>
  <cols>
    <col min="1" max="1" width="20.33203125" style="6" customWidth="1"/>
    <col min="2" max="2" width="8.5" style="6" customWidth="1"/>
    <col min="3" max="3" width="7.5" style="3" customWidth="1"/>
    <col min="4" max="4" width="9.33203125" style="3" customWidth="1"/>
    <col min="5" max="5" width="8.33203125" style="3" customWidth="1"/>
    <col min="6" max="6" width="7.5" style="3" customWidth="1"/>
    <col min="7" max="7" width="8.6640625" style="3" customWidth="1"/>
    <col min="8" max="8" width="7.33203125" style="3" customWidth="1"/>
    <col min="9" max="9" width="8.83203125" style="3" customWidth="1"/>
    <col min="10" max="14" width="7.5" style="3" customWidth="1"/>
    <col min="15" max="15" width="11.6640625" style="3" bestFit="1" customWidth="1"/>
    <col min="16" max="16" width="9.83203125" style="3" customWidth="1"/>
    <col min="17" max="16384" width="9.1640625" style="3"/>
  </cols>
  <sheetData>
    <row r="1" spans="1:16" ht="32.25" customHeight="1">
      <c r="A1" s="849" t="s">
        <v>1188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</row>
    <row r="2" spans="1:16" ht="16">
      <c r="A2" s="58" t="s">
        <v>597</v>
      </c>
      <c r="B2" s="58" t="s">
        <v>1</v>
      </c>
      <c r="C2" s="384" t="s">
        <v>599</v>
      </c>
      <c r="D2" s="384" t="s">
        <v>600</v>
      </c>
      <c r="E2" s="384" t="s">
        <v>601</v>
      </c>
      <c r="F2" s="384" t="s">
        <v>602</v>
      </c>
      <c r="G2" s="384" t="s">
        <v>603</v>
      </c>
      <c r="H2" s="384" t="s">
        <v>604</v>
      </c>
      <c r="I2" s="384" t="s">
        <v>605</v>
      </c>
      <c r="J2" s="384" t="s">
        <v>606</v>
      </c>
      <c r="K2" s="384" t="s">
        <v>607</v>
      </c>
      <c r="L2" s="384" t="s">
        <v>608</v>
      </c>
      <c r="M2" s="384" t="s">
        <v>609</v>
      </c>
      <c r="N2" s="384" t="s">
        <v>598</v>
      </c>
      <c r="O2" s="216" t="s">
        <v>3</v>
      </c>
      <c r="P2" s="3" t="s">
        <v>610</v>
      </c>
    </row>
    <row r="3" spans="1:16" ht="16">
      <c r="A3" s="31" t="s">
        <v>617</v>
      </c>
      <c r="B3" s="30" t="s">
        <v>611</v>
      </c>
      <c r="C3" s="32" t="e">
        <f>#REF!</f>
        <v>#REF!</v>
      </c>
      <c r="D3" s="32" t="e">
        <f>#REF!</f>
        <v>#REF!</v>
      </c>
      <c r="E3" s="32" t="e">
        <f>#REF!</f>
        <v>#REF!</v>
      </c>
      <c r="F3" s="32" t="e">
        <f>#REF!</f>
        <v>#REF!</v>
      </c>
      <c r="G3" s="32" t="e">
        <f>#REF!</f>
        <v>#REF!</v>
      </c>
      <c r="H3" s="32" t="e">
        <f>#REF!</f>
        <v>#REF!</v>
      </c>
      <c r="I3" s="32" t="e">
        <f>#REF!</f>
        <v>#REF!</v>
      </c>
      <c r="J3" s="32" t="e">
        <f>#REF!</f>
        <v>#REF!</v>
      </c>
      <c r="K3" s="32" t="e">
        <f>#REF!</f>
        <v>#REF!</v>
      </c>
      <c r="L3" s="32" t="e">
        <f>#REF!</f>
        <v>#REF!</v>
      </c>
      <c r="M3" s="32" t="e">
        <f>#REF!</f>
        <v>#REF!</v>
      </c>
      <c r="N3" s="32" t="e">
        <f>#REF!</f>
        <v>#REF!</v>
      </c>
      <c r="O3" s="397" t="e">
        <f>O12*1000*1000/O8</f>
        <v>#REF!</v>
      </c>
    </row>
    <row r="4" spans="1:16" ht="16">
      <c r="A4" s="850" t="s">
        <v>612</v>
      </c>
      <c r="B4" s="400" t="s">
        <v>229</v>
      </c>
      <c r="C4" s="401">
        <v>0.5</v>
      </c>
      <c r="D4" s="401">
        <f>C10/$B$15</f>
        <v>2.5</v>
      </c>
      <c r="E4" s="401">
        <f t="shared" ref="E4:N4" si="0">D10/$B$15</f>
        <v>3.4499999999999997</v>
      </c>
      <c r="F4" s="401">
        <f t="shared" si="0"/>
        <v>3.4499999999999997</v>
      </c>
      <c r="G4" s="401">
        <f t="shared" si="0"/>
        <v>3.4499999999999997</v>
      </c>
      <c r="H4" s="401">
        <f t="shared" si="0"/>
        <v>3.4499999999999997</v>
      </c>
      <c r="I4" s="401">
        <f t="shared" si="0"/>
        <v>3.4499999999999997</v>
      </c>
      <c r="J4" s="401">
        <f t="shared" si="0"/>
        <v>3.4499999999999997</v>
      </c>
      <c r="K4" s="401">
        <f t="shared" si="0"/>
        <v>3.4499999999999997</v>
      </c>
      <c r="L4" s="401">
        <f t="shared" si="0"/>
        <v>3.4499999999999997</v>
      </c>
      <c r="M4" s="401">
        <f t="shared" si="0"/>
        <v>2.4499999999999997</v>
      </c>
      <c r="N4" s="401">
        <f t="shared" si="0"/>
        <v>1.4499999999999995</v>
      </c>
      <c r="O4" s="255"/>
    </row>
    <row r="5" spans="1:16" ht="16">
      <c r="A5" s="851"/>
      <c r="B5" s="281" t="s">
        <v>79</v>
      </c>
      <c r="C5" s="32">
        <f>B15*C4</f>
        <v>1620.3703703703704</v>
      </c>
      <c r="D5" s="32">
        <f>C10</f>
        <v>8101.8518518518522</v>
      </c>
      <c r="E5" s="32">
        <f t="shared" ref="E5:N5" si="1">D10</f>
        <v>11180.555555555555</v>
      </c>
      <c r="F5" s="32">
        <f t="shared" si="1"/>
        <v>11180.555555555555</v>
      </c>
      <c r="G5" s="32">
        <f t="shared" si="1"/>
        <v>11180.555555555555</v>
      </c>
      <c r="H5" s="32">
        <f t="shared" si="1"/>
        <v>11180.555555555555</v>
      </c>
      <c r="I5" s="32">
        <f t="shared" si="1"/>
        <v>11180.555555555555</v>
      </c>
      <c r="J5" s="32">
        <f t="shared" si="1"/>
        <v>11180.555555555555</v>
      </c>
      <c r="K5" s="32">
        <f t="shared" si="1"/>
        <v>11180.555555555555</v>
      </c>
      <c r="L5" s="32">
        <f t="shared" si="1"/>
        <v>11180.555555555555</v>
      </c>
      <c r="M5" s="32">
        <f t="shared" si="1"/>
        <v>7939.8148148148139</v>
      </c>
      <c r="N5" s="32">
        <f t="shared" si="1"/>
        <v>4699.074074074073</v>
      </c>
      <c r="O5" s="255"/>
    </row>
    <row r="6" spans="1:16" ht="16">
      <c r="A6" s="850" t="s">
        <v>613</v>
      </c>
      <c r="B6" s="30" t="s">
        <v>229</v>
      </c>
      <c r="C6" s="401">
        <v>3</v>
      </c>
      <c r="D6" s="401">
        <v>1.95</v>
      </c>
      <c r="E6" s="401">
        <v>1</v>
      </c>
      <c r="F6" s="401">
        <v>1</v>
      </c>
      <c r="G6" s="401">
        <v>1</v>
      </c>
      <c r="H6" s="401">
        <v>1</v>
      </c>
      <c r="I6" s="401">
        <v>1</v>
      </c>
      <c r="J6" s="401">
        <v>1</v>
      </c>
      <c r="K6" s="401">
        <v>1</v>
      </c>
      <c r="L6" s="401">
        <v>0</v>
      </c>
      <c r="M6" s="401">
        <v>0</v>
      </c>
      <c r="N6" s="401">
        <v>0</v>
      </c>
      <c r="O6" s="255"/>
    </row>
    <row r="7" spans="1:16" ht="16">
      <c r="A7" s="851"/>
      <c r="B7" s="30" t="s">
        <v>79</v>
      </c>
      <c r="C7" s="32">
        <f>$B$15*C6</f>
        <v>9722.2222222222226</v>
      </c>
      <c r="D7" s="32">
        <f t="shared" ref="D7:N7" si="2">$B$15*D6</f>
        <v>6319.4444444444443</v>
      </c>
      <c r="E7" s="32">
        <f t="shared" si="2"/>
        <v>3240.7407407407409</v>
      </c>
      <c r="F7" s="32">
        <f t="shared" si="2"/>
        <v>3240.7407407407409</v>
      </c>
      <c r="G7" s="32">
        <f t="shared" si="2"/>
        <v>3240.7407407407409</v>
      </c>
      <c r="H7" s="32">
        <f t="shared" si="2"/>
        <v>3240.7407407407409</v>
      </c>
      <c r="I7" s="32">
        <f t="shared" si="2"/>
        <v>3240.7407407407409</v>
      </c>
      <c r="J7" s="32">
        <f t="shared" si="2"/>
        <v>3240.7407407407409</v>
      </c>
      <c r="K7" s="32">
        <f t="shared" si="2"/>
        <v>3240.7407407407409</v>
      </c>
      <c r="L7" s="32">
        <f t="shared" si="2"/>
        <v>0</v>
      </c>
      <c r="M7" s="32">
        <f t="shared" si="2"/>
        <v>0</v>
      </c>
      <c r="N7" s="32">
        <f t="shared" si="2"/>
        <v>0</v>
      </c>
      <c r="O7" s="102">
        <f t="shared" ref="O7:O12" si="3">SUM(C7:N7)</f>
        <v>38726.851851851854</v>
      </c>
      <c r="P7" s="852">
        <f>O7-O8</f>
        <v>-162.0370370370365</v>
      </c>
    </row>
    <row r="8" spans="1:16" ht="16">
      <c r="A8" s="31" t="s">
        <v>614</v>
      </c>
      <c r="B8" s="30" t="s">
        <v>79</v>
      </c>
      <c r="C8" s="32">
        <f>B15</f>
        <v>3240.7407407407409</v>
      </c>
      <c r="D8" s="32">
        <f>C8</f>
        <v>3240.7407407407409</v>
      </c>
      <c r="E8" s="32">
        <f t="shared" ref="E8:N8" si="4">D8</f>
        <v>3240.7407407407409</v>
      </c>
      <c r="F8" s="32">
        <f t="shared" si="4"/>
        <v>3240.7407407407409</v>
      </c>
      <c r="G8" s="32">
        <f t="shared" si="4"/>
        <v>3240.7407407407409</v>
      </c>
      <c r="H8" s="32">
        <f t="shared" si="4"/>
        <v>3240.7407407407409</v>
      </c>
      <c r="I8" s="32">
        <f t="shared" si="4"/>
        <v>3240.7407407407409</v>
      </c>
      <c r="J8" s="32">
        <f t="shared" si="4"/>
        <v>3240.7407407407409</v>
      </c>
      <c r="K8" s="32">
        <f t="shared" si="4"/>
        <v>3240.7407407407409</v>
      </c>
      <c r="L8" s="32">
        <f t="shared" si="4"/>
        <v>3240.7407407407409</v>
      </c>
      <c r="M8" s="32">
        <f t="shared" si="4"/>
        <v>3240.7407407407409</v>
      </c>
      <c r="N8" s="32">
        <f t="shared" si="4"/>
        <v>3240.7407407407409</v>
      </c>
      <c r="O8" s="102">
        <f t="shared" si="3"/>
        <v>38888.888888888891</v>
      </c>
      <c r="P8" s="853"/>
    </row>
    <row r="9" spans="1:16" ht="16">
      <c r="A9" s="31" t="s">
        <v>615</v>
      </c>
      <c r="B9" s="30" t="s">
        <v>79</v>
      </c>
      <c r="C9" s="32">
        <f>B14-C5-C7+C8</f>
        <v>21898.148148148146</v>
      </c>
      <c r="D9" s="32">
        <f>C9-D7+D8</f>
        <v>18819.444444444442</v>
      </c>
      <c r="E9" s="32">
        <f t="shared" ref="E9:N9" si="5">D9-E7+E8</f>
        <v>18819.444444444442</v>
      </c>
      <c r="F9" s="32">
        <f t="shared" si="5"/>
        <v>18819.444444444442</v>
      </c>
      <c r="G9" s="32">
        <f t="shared" si="5"/>
        <v>18819.444444444442</v>
      </c>
      <c r="H9" s="32">
        <f t="shared" si="5"/>
        <v>18819.444444444442</v>
      </c>
      <c r="I9" s="32">
        <f t="shared" si="5"/>
        <v>18819.444444444442</v>
      </c>
      <c r="J9" s="32">
        <f t="shared" si="5"/>
        <v>18819.444444444442</v>
      </c>
      <c r="K9" s="32">
        <f t="shared" si="5"/>
        <v>18819.444444444442</v>
      </c>
      <c r="L9" s="32">
        <f t="shared" si="5"/>
        <v>22060.185185185182</v>
      </c>
      <c r="M9" s="32">
        <f t="shared" si="5"/>
        <v>25300.925925925923</v>
      </c>
      <c r="N9" s="32">
        <f t="shared" si="5"/>
        <v>28541.666666666664</v>
      </c>
      <c r="O9" s="102">
        <f t="shared" si="3"/>
        <v>248356.4814814814</v>
      </c>
      <c r="P9" s="852"/>
    </row>
    <row r="10" spans="1:16" ht="16">
      <c r="A10" s="850" t="s">
        <v>616</v>
      </c>
      <c r="B10" s="30" t="s">
        <v>79</v>
      </c>
      <c r="C10" s="32">
        <f>C5+C7-C8</f>
        <v>8101.8518518518522</v>
      </c>
      <c r="D10" s="32">
        <f t="shared" ref="D10:N10" si="6">D5+D7-D8</f>
        <v>11180.555555555555</v>
      </c>
      <c r="E10" s="32">
        <f t="shared" si="6"/>
        <v>11180.555555555555</v>
      </c>
      <c r="F10" s="32">
        <f t="shared" si="6"/>
        <v>11180.555555555555</v>
      </c>
      <c r="G10" s="32">
        <f t="shared" si="6"/>
        <v>11180.555555555555</v>
      </c>
      <c r="H10" s="32">
        <f t="shared" si="6"/>
        <v>11180.555555555555</v>
      </c>
      <c r="I10" s="32">
        <f t="shared" si="6"/>
        <v>11180.555555555555</v>
      </c>
      <c r="J10" s="32">
        <f t="shared" si="6"/>
        <v>11180.555555555555</v>
      </c>
      <c r="K10" s="32">
        <f t="shared" si="6"/>
        <v>11180.555555555555</v>
      </c>
      <c r="L10" s="32">
        <f t="shared" si="6"/>
        <v>7939.8148148148139</v>
      </c>
      <c r="M10" s="32">
        <f t="shared" si="6"/>
        <v>4699.074074074073</v>
      </c>
      <c r="N10" s="32">
        <f t="shared" si="6"/>
        <v>1458.3333333333321</v>
      </c>
      <c r="O10" s="102">
        <f t="shared" si="3"/>
        <v>111643.51851851851</v>
      </c>
      <c r="P10" s="853"/>
    </row>
    <row r="11" spans="1:16" ht="16">
      <c r="A11" s="851"/>
      <c r="B11" s="30" t="s">
        <v>150</v>
      </c>
      <c r="C11" s="32" t="e">
        <f>C10*C3/1000000</f>
        <v>#REF!</v>
      </c>
      <c r="D11" s="32" t="e">
        <f t="shared" ref="D11:N11" si="7">D10*D3/1000000</f>
        <v>#REF!</v>
      </c>
      <c r="E11" s="32" t="e">
        <f t="shared" si="7"/>
        <v>#REF!</v>
      </c>
      <c r="F11" s="32" t="e">
        <f t="shared" si="7"/>
        <v>#REF!</v>
      </c>
      <c r="G11" s="32" t="e">
        <f t="shared" si="7"/>
        <v>#REF!</v>
      </c>
      <c r="H11" s="32" t="e">
        <f t="shared" si="7"/>
        <v>#REF!</v>
      </c>
      <c r="I11" s="32" t="e">
        <f t="shared" si="7"/>
        <v>#REF!</v>
      </c>
      <c r="J11" s="32" t="e">
        <f t="shared" si="7"/>
        <v>#REF!</v>
      </c>
      <c r="K11" s="32" t="e">
        <f t="shared" si="7"/>
        <v>#REF!</v>
      </c>
      <c r="L11" s="32" t="e">
        <f t="shared" si="7"/>
        <v>#REF!</v>
      </c>
      <c r="M11" s="32" t="e">
        <f t="shared" si="7"/>
        <v>#REF!</v>
      </c>
      <c r="N11" s="32" t="e">
        <f t="shared" si="7"/>
        <v>#REF!</v>
      </c>
      <c r="O11" s="102" t="e">
        <f t="shared" si="3"/>
        <v>#REF!</v>
      </c>
      <c r="P11" s="385"/>
    </row>
    <row r="12" spans="1:16" ht="16">
      <c r="A12" s="31" t="s">
        <v>5</v>
      </c>
      <c r="B12" s="30" t="s">
        <v>150</v>
      </c>
      <c r="C12" s="32" t="e">
        <f t="shared" ref="C12:M12" si="8">C7*C3/1000000</f>
        <v>#REF!</v>
      </c>
      <c r="D12" s="32" t="e">
        <f t="shared" si="8"/>
        <v>#REF!</v>
      </c>
      <c r="E12" s="32" t="e">
        <f t="shared" si="8"/>
        <v>#REF!</v>
      </c>
      <c r="F12" s="32" t="e">
        <f t="shared" si="8"/>
        <v>#REF!</v>
      </c>
      <c r="G12" s="32" t="e">
        <f t="shared" si="8"/>
        <v>#REF!</v>
      </c>
      <c r="H12" s="32" t="e">
        <f t="shared" si="8"/>
        <v>#REF!</v>
      </c>
      <c r="I12" s="32" t="e">
        <f t="shared" si="8"/>
        <v>#REF!</v>
      </c>
      <c r="J12" s="32" t="e">
        <f t="shared" si="8"/>
        <v>#REF!</v>
      </c>
      <c r="K12" s="32" t="e">
        <f t="shared" si="8"/>
        <v>#REF!</v>
      </c>
      <c r="L12" s="32" t="e">
        <f t="shared" si="8"/>
        <v>#REF!</v>
      </c>
      <c r="M12" s="32" t="e">
        <f t="shared" si="8"/>
        <v>#REF!</v>
      </c>
      <c r="N12" s="32" t="e">
        <f>N$7*N3/1000000</f>
        <v>#REF!</v>
      </c>
      <c r="O12" s="102" t="e">
        <f t="shared" si="3"/>
        <v>#REF!</v>
      </c>
    </row>
    <row r="14" spans="1:16" ht="32">
      <c r="A14" s="6" t="s">
        <v>618</v>
      </c>
      <c r="B14" s="402">
        <v>30000</v>
      </c>
    </row>
    <row r="15" spans="1:16" ht="16">
      <c r="A15" s="6" t="s">
        <v>619</v>
      </c>
      <c r="B15" s="402">
        <f>'6_МБ_ЛК_Ку-за'!C3/12</f>
        <v>3240.7407407407409</v>
      </c>
    </row>
  </sheetData>
  <mergeCells count="6">
    <mergeCell ref="A1:O1"/>
    <mergeCell ref="A4:A5"/>
    <mergeCell ref="A6:A7"/>
    <mergeCell ref="P7:P8"/>
    <mergeCell ref="P9:P10"/>
    <mergeCell ref="A10:A11"/>
  </mergeCells>
  <pageMargins left="0.7" right="0.7" top="0.75" bottom="0.75" header="0.3" footer="0.3"/>
  <pageSetup paperSize="9" scale="97" orientation="landscape" verticalDpi="0" r:id="rId1"/>
  <colBreaks count="1" manualBreakCount="1">
    <brk id="15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1"/>
  <sheetViews>
    <sheetView workbookViewId="0">
      <selection activeCell="E3" sqref="E3"/>
    </sheetView>
  </sheetViews>
  <sheetFormatPr baseColWidth="10" defaultColWidth="9.1640625" defaultRowHeight="15"/>
  <cols>
    <col min="1" max="1" width="6.6640625" style="3" bestFit="1" customWidth="1"/>
    <col min="2" max="2" width="42.83203125" style="3" customWidth="1"/>
    <col min="3" max="3" width="11.83203125" style="3" customWidth="1"/>
    <col min="4" max="4" width="23" style="3" bestFit="1" customWidth="1"/>
    <col min="5" max="5" width="28.33203125" style="3" bestFit="1" customWidth="1"/>
    <col min="6" max="16384" width="9.1640625" style="3"/>
  </cols>
  <sheetData>
    <row r="1" spans="1:5" ht="26.25" customHeight="1">
      <c r="A1" s="789" t="s">
        <v>80</v>
      </c>
      <c r="B1" s="789"/>
      <c r="D1" s="65" t="s">
        <v>1222</v>
      </c>
      <c r="E1" s="6">
        <v>20</v>
      </c>
    </row>
    <row r="2" spans="1:5" ht="16">
      <c r="A2" s="57" t="s">
        <v>18</v>
      </c>
      <c r="B2" s="58" t="s">
        <v>81</v>
      </c>
      <c r="C2" s="57" t="s">
        <v>4</v>
      </c>
      <c r="D2" s="57" t="s">
        <v>42</v>
      </c>
      <c r="E2" s="57" t="s">
        <v>382</v>
      </c>
    </row>
    <row r="3" spans="1:5" ht="16">
      <c r="A3" s="30">
        <v>1</v>
      </c>
      <c r="B3" s="31" t="s">
        <v>7</v>
      </c>
      <c r="C3" s="42">
        <v>0.12</v>
      </c>
      <c r="D3" s="30" t="s">
        <v>1122</v>
      </c>
      <c r="E3" s="30"/>
    </row>
    <row r="4" spans="1:5" ht="31" customHeight="1">
      <c r="A4" s="30">
        <v>3</v>
      </c>
      <c r="B4" s="31" t="s">
        <v>84</v>
      </c>
      <c r="C4" s="42">
        <v>0.2</v>
      </c>
      <c r="D4" s="30"/>
      <c r="E4" s="30" t="s">
        <v>383</v>
      </c>
    </row>
    <row r="5" spans="1:5" ht="16">
      <c r="A5" s="30">
        <v>4</v>
      </c>
      <c r="B5" s="31" t="s">
        <v>82</v>
      </c>
      <c r="C5" s="59">
        <v>0.307</v>
      </c>
      <c r="D5" s="30"/>
      <c r="E5" s="30" t="s">
        <v>383</v>
      </c>
    </row>
    <row r="6" spans="1:5" ht="16">
      <c r="A6" s="30">
        <v>5</v>
      </c>
      <c r="B6" s="31" t="s">
        <v>41</v>
      </c>
      <c r="C6" s="59">
        <v>0.13</v>
      </c>
      <c r="D6" s="30"/>
      <c r="E6" s="30" t="s">
        <v>383</v>
      </c>
    </row>
    <row r="7" spans="1:5" ht="16">
      <c r="A7" s="30">
        <v>6</v>
      </c>
      <c r="B7" s="31" t="s">
        <v>83</v>
      </c>
      <c r="C7" s="59">
        <v>0</v>
      </c>
      <c r="D7" s="30" t="s">
        <v>1122</v>
      </c>
      <c r="E7" s="30"/>
    </row>
    <row r="8" spans="1:5" ht="16">
      <c r="A8" s="30">
        <v>7</v>
      </c>
      <c r="B8" s="31" t="s">
        <v>8</v>
      </c>
      <c r="C8" s="59">
        <v>1.4999999999999999E-2</v>
      </c>
      <c r="D8" s="30"/>
      <c r="E8" s="30" t="s">
        <v>383</v>
      </c>
    </row>
    <row r="9" spans="1:5" ht="16">
      <c r="A9" s="30">
        <v>8</v>
      </c>
      <c r="B9" s="31" t="s">
        <v>1081</v>
      </c>
      <c r="C9" s="43">
        <v>0.35</v>
      </c>
      <c r="D9" s="30" t="s">
        <v>1124</v>
      </c>
      <c r="E9" s="30" t="s">
        <v>1123</v>
      </c>
    </row>
    <row r="10" spans="1:5" ht="23" customHeight="1">
      <c r="A10" s="30">
        <v>9</v>
      </c>
      <c r="B10" s="31" t="s">
        <v>85</v>
      </c>
      <c r="C10" s="42">
        <v>0</v>
      </c>
      <c r="D10" s="30" t="s">
        <v>375</v>
      </c>
      <c r="E10" s="854" t="s">
        <v>1150</v>
      </c>
    </row>
    <row r="11" spans="1:5" ht="32">
      <c r="A11" s="30">
        <v>10</v>
      </c>
      <c r="B11" s="31" t="s">
        <v>1148</v>
      </c>
      <c r="C11" s="30">
        <v>0.05</v>
      </c>
      <c r="D11" s="30" t="s">
        <v>1149</v>
      </c>
      <c r="E11" s="855"/>
    </row>
  </sheetData>
  <mergeCells count="2">
    <mergeCell ref="A1:B1"/>
    <mergeCell ref="E10:E11"/>
  </mergeCells>
  <pageMargins left="0.7" right="0.7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5CCEC-9C20-D942-9D30-53105F5BE679}">
  <dimension ref="A1:I13"/>
  <sheetViews>
    <sheetView zoomScale="130" zoomScaleNormal="130" workbookViewId="0">
      <selection activeCell="E35" sqref="E35"/>
    </sheetView>
  </sheetViews>
  <sheetFormatPr baseColWidth="10" defaultColWidth="9.1640625" defaultRowHeight="15"/>
  <cols>
    <col min="1" max="1" width="18.83203125" style="6" bestFit="1" customWidth="1"/>
    <col min="2" max="2" width="10.1640625" style="3" customWidth="1"/>
    <col min="3" max="3" width="9.5" style="3" customWidth="1"/>
    <col min="4" max="4" width="8.83203125" style="3" customWidth="1"/>
    <col min="5" max="5" width="7.5" style="3" bestFit="1" customWidth="1"/>
    <col min="6" max="6" width="8.83203125" style="3" bestFit="1" customWidth="1"/>
    <col min="7" max="7" width="10.1640625" style="3" customWidth="1"/>
    <col min="8" max="8" width="8.6640625" style="3" bestFit="1" customWidth="1"/>
    <col min="9" max="16384" width="9.1640625" style="3"/>
  </cols>
  <sheetData>
    <row r="1" spans="1:9" ht="24" customHeight="1">
      <c r="A1" s="789" t="s">
        <v>278</v>
      </c>
      <c r="B1" s="789"/>
      <c r="C1" s="789"/>
      <c r="D1" s="789"/>
      <c r="E1" s="789"/>
      <c r="F1" s="180"/>
      <c r="G1" s="180"/>
      <c r="H1" s="65" t="s">
        <v>147</v>
      </c>
      <c r="I1" s="6">
        <v>2</v>
      </c>
    </row>
    <row r="2" spans="1:9" ht="28.5" customHeight="1">
      <c r="A2" s="790" t="s">
        <v>111</v>
      </c>
      <c r="B2" s="791" t="s">
        <v>36</v>
      </c>
      <c r="C2" s="792"/>
      <c r="D2" s="793" t="s">
        <v>148</v>
      </c>
      <c r="E2" s="791"/>
      <c r="F2" s="791"/>
      <c r="G2" s="792"/>
      <c r="H2" s="788" t="s">
        <v>149</v>
      </c>
      <c r="I2" s="788"/>
    </row>
    <row r="3" spans="1:9" ht="32">
      <c r="A3" s="790"/>
      <c r="B3" s="40" t="s">
        <v>150</v>
      </c>
      <c r="C3" s="40" t="s">
        <v>151</v>
      </c>
      <c r="D3" s="40" t="str">
        <f>B3</f>
        <v>млн. руб.</v>
      </c>
      <c r="E3" s="40" t="s">
        <v>151</v>
      </c>
      <c r="F3" s="40" t="s">
        <v>277</v>
      </c>
      <c r="G3" s="40" t="s">
        <v>151</v>
      </c>
      <c r="H3" s="40" t="str">
        <f>B3</f>
        <v>млн. руб.</v>
      </c>
      <c r="I3" s="40" t="s">
        <v>151</v>
      </c>
    </row>
    <row r="4" spans="1:9" ht="16">
      <c r="A4" s="5" t="s">
        <v>152</v>
      </c>
      <c r="B4" s="4">
        <f>'3_Здания'!G46/(1-'20_Tax'!C4)/1000</f>
        <v>3119.2680301041669</v>
      </c>
      <c r="C4" s="123">
        <f>B4/$B$7</f>
        <v>0.43875990181048297</v>
      </c>
      <c r="D4" s="4">
        <f>E4*B7</f>
        <v>2132.7847079231251</v>
      </c>
      <c r="E4" s="123">
        <v>0.3</v>
      </c>
      <c r="F4" s="151">
        <v>0</v>
      </c>
      <c r="G4" s="182">
        <f>F4/$B$7</f>
        <v>0</v>
      </c>
      <c r="H4" s="4">
        <f>B4-D4</f>
        <v>986.48332218104179</v>
      </c>
      <c r="I4" s="123">
        <f>H4/$B$7</f>
        <v>0.13875990181048301</v>
      </c>
    </row>
    <row r="5" spans="1:9" ht="16">
      <c r="A5" s="5" t="s">
        <v>44</v>
      </c>
      <c r="B5" s="4">
        <f>'5_Оборуд'!N18</f>
        <v>3990.014329639584</v>
      </c>
      <c r="C5" s="123">
        <f>B5/$B$7</f>
        <v>0.56124009818951703</v>
      </c>
      <c r="D5" s="4">
        <v>0</v>
      </c>
      <c r="E5" s="123">
        <f>D5/$B$7</f>
        <v>0</v>
      </c>
      <c r="F5" s="151">
        <v>0</v>
      </c>
      <c r="G5" s="182">
        <f>F5/$B$7</f>
        <v>0</v>
      </c>
      <c r="H5" s="4">
        <f>B5-D5</f>
        <v>3990.014329639584</v>
      </c>
      <c r="I5" s="123">
        <f>H5/$B$7</f>
        <v>0.56124009818951703</v>
      </c>
    </row>
    <row r="6" spans="1:9" ht="16">
      <c r="A6" s="5" t="s">
        <v>153</v>
      </c>
      <c r="B6" s="4">
        <v>0</v>
      </c>
      <c r="C6" s="123">
        <f>B6/$B$7</f>
        <v>0</v>
      </c>
      <c r="D6" s="4">
        <f>B6</f>
        <v>0</v>
      </c>
      <c r="E6" s="123">
        <f>D6/$B$7</f>
        <v>0</v>
      </c>
      <c r="F6" s="151">
        <v>0</v>
      </c>
      <c r="G6" s="182">
        <f>F6/$B$7</f>
        <v>0</v>
      </c>
      <c r="H6" s="4">
        <f>B6-D6</f>
        <v>0</v>
      </c>
      <c r="I6" s="123">
        <f>H6/$B$7</f>
        <v>0</v>
      </c>
    </row>
    <row r="7" spans="1:9" ht="16">
      <c r="A7" s="124" t="s">
        <v>3</v>
      </c>
      <c r="B7" s="125">
        <f t="shared" ref="B7:I7" si="0">SUM(B4:B6)</f>
        <v>7109.2823597437509</v>
      </c>
      <c r="C7" s="126">
        <f t="shared" si="0"/>
        <v>1</v>
      </c>
      <c r="D7" s="125">
        <f t="shared" si="0"/>
        <v>2132.7847079231251</v>
      </c>
      <c r="E7" s="126">
        <f t="shared" si="0"/>
        <v>0.3</v>
      </c>
      <c r="F7" s="181">
        <f t="shared" si="0"/>
        <v>0</v>
      </c>
      <c r="G7" s="150">
        <f t="shared" si="0"/>
        <v>0</v>
      </c>
      <c r="H7" s="125">
        <f t="shared" si="0"/>
        <v>4976.4976518206258</v>
      </c>
      <c r="I7" s="126">
        <f t="shared" si="0"/>
        <v>0.70000000000000007</v>
      </c>
    </row>
    <row r="8" spans="1:9">
      <c r="A8" s="787" t="s">
        <v>279</v>
      </c>
      <c r="B8" s="787"/>
      <c r="C8" s="787"/>
      <c r="D8" s="787"/>
    </row>
    <row r="9" spans="1:9" ht="15" customHeight="1">
      <c r="A9" s="3"/>
    </row>
    <row r="10" spans="1:9" ht="15" customHeight="1">
      <c r="A10" s="6" t="s">
        <v>75</v>
      </c>
      <c r="B10" s="3">
        <f>'0_Допущения'!C12</f>
        <v>102.0271</v>
      </c>
    </row>
    <row r="12" spans="1:9" ht="33" thickBot="1">
      <c r="A12" s="6" t="s">
        <v>577</v>
      </c>
      <c r="B12" s="50">
        <v>8.5999999999999993E-2</v>
      </c>
      <c r="C12" s="65" t="s">
        <v>230</v>
      </c>
      <c r="D12" s="715">
        <v>45047</v>
      </c>
    </row>
    <row r="13" spans="1:9" ht="65" thickBot="1">
      <c r="A13" s="378" t="s">
        <v>578</v>
      </c>
      <c r="B13" s="379">
        <f>B12*H7</f>
        <v>427.97879805657379</v>
      </c>
    </row>
  </sheetData>
  <mergeCells count="6">
    <mergeCell ref="A8:D8"/>
    <mergeCell ref="H2:I2"/>
    <mergeCell ref="A1:E1"/>
    <mergeCell ref="A2:A3"/>
    <mergeCell ref="B2:C2"/>
    <mergeCell ref="D2:G2"/>
  </mergeCells>
  <pageMargins left="0.7" right="0.7" top="0.75" bottom="0.75" header="0.3" footer="0.3"/>
  <pageSetup paperSize="9" orientation="landscape" horizontalDpi="0" verticalDpi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7"/>
  <sheetViews>
    <sheetView zoomScale="120" zoomScaleNormal="120" workbookViewId="0">
      <selection activeCell="K20" sqref="K20"/>
    </sheetView>
  </sheetViews>
  <sheetFormatPr baseColWidth="10" defaultColWidth="8.83203125" defaultRowHeight="15"/>
  <cols>
    <col min="1" max="1" width="30.6640625" bestFit="1" customWidth="1"/>
    <col min="2" max="2" width="9.1640625" customWidth="1"/>
    <col min="3" max="3" width="7.5" bestFit="1" customWidth="1"/>
    <col min="4" max="4" width="11.6640625" customWidth="1"/>
    <col min="5" max="5" width="9.1640625" bestFit="1" customWidth="1"/>
    <col min="6" max="6" width="6.6640625" bestFit="1" customWidth="1"/>
    <col min="7" max="8" width="7.83203125" bestFit="1" customWidth="1"/>
    <col min="9" max="9" width="6" bestFit="1" customWidth="1"/>
    <col min="10" max="10" width="7" bestFit="1" customWidth="1"/>
    <col min="11" max="11" width="6.1640625" bestFit="1" customWidth="1"/>
  </cols>
  <sheetData>
    <row r="1" spans="1:11" ht="20" customHeight="1">
      <c r="A1" s="856" t="s">
        <v>633</v>
      </c>
      <c r="B1" s="856"/>
      <c r="C1" s="856"/>
      <c r="D1" s="856"/>
      <c r="E1" s="856"/>
      <c r="F1" s="856"/>
      <c r="G1" s="856"/>
      <c r="H1" s="856"/>
      <c r="I1" s="856"/>
      <c r="J1" s="9" t="s">
        <v>147</v>
      </c>
      <c r="K1" s="756" t="s">
        <v>1223</v>
      </c>
    </row>
    <row r="2" spans="1:11" ht="18" customHeight="1">
      <c r="A2" s="53" t="s">
        <v>111</v>
      </c>
      <c r="B2" s="735">
        <f>'9_Пр-во'!D2</f>
        <v>2024</v>
      </c>
      <c r="C2" s="735">
        <f>'9_Пр-во'!E2</f>
        <v>2025</v>
      </c>
      <c r="D2" s="735">
        <f>'9_Пр-во'!F2</f>
        <v>2026</v>
      </c>
      <c r="E2" s="735">
        <f>'9_Пр-во'!G2</f>
        <v>2027</v>
      </c>
      <c r="F2" s="735">
        <f>'9_Пр-во'!H2</f>
        <v>2028</v>
      </c>
      <c r="G2" s="735">
        <f>'9_Пр-во'!I2</f>
        <v>2029</v>
      </c>
      <c r="H2" s="735">
        <f>'9_Пр-во'!J2</f>
        <v>2030</v>
      </c>
      <c r="I2" s="735">
        <f>'9_Пр-во'!K2</f>
        <v>2031</v>
      </c>
      <c r="J2" s="735">
        <f>'9_Пр-во'!L2</f>
        <v>2032</v>
      </c>
      <c r="K2" s="735">
        <f>'9_Пр-во'!M2</f>
        <v>2033</v>
      </c>
    </row>
    <row r="3" spans="1:11">
      <c r="A3" s="33" t="s">
        <v>129</v>
      </c>
      <c r="B3" s="78">
        <v>0</v>
      </c>
      <c r="C3" s="33">
        <v>0</v>
      </c>
      <c r="D3" s="77">
        <f>'2_Бюджет'!$B$7*'20_Tax'!$C$4*1000</f>
        <v>1421856.4719487503</v>
      </c>
      <c r="E3" s="77">
        <v>0</v>
      </c>
      <c r="F3" s="33"/>
      <c r="G3" s="33"/>
      <c r="H3" s="33"/>
      <c r="I3" s="33"/>
      <c r="J3" s="33"/>
      <c r="K3" s="33"/>
    </row>
    <row r="4" spans="1:11">
      <c r="A4" s="33" t="s">
        <v>127</v>
      </c>
      <c r="B4" s="78" t="s">
        <v>287</v>
      </c>
      <c r="C4" s="78" t="s">
        <v>287</v>
      </c>
      <c r="D4" s="78" t="s">
        <v>287</v>
      </c>
      <c r="E4" s="78" t="s">
        <v>287</v>
      </c>
      <c r="F4" s="78" t="s">
        <v>287</v>
      </c>
      <c r="G4" s="78" t="s">
        <v>287</v>
      </c>
      <c r="H4" s="78" t="s">
        <v>287</v>
      </c>
      <c r="I4" s="78" t="s">
        <v>287</v>
      </c>
      <c r="J4" s="78" t="s">
        <v>287</v>
      </c>
      <c r="K4" s="78" t="s">
        <v>287</v>
      </c>
    </row>
    <row r="5" spans="1:11">
      <c r="A5" s="33" t="s">
        <v>128</v>
      </c>
      <c r="B5" s="78" t="s">
        <v>287</v>
      </c>
      <c r="C5" s="78" t="s">
        <v>287</v>
      </c>
      <c r="D5" s="78" t="s">
        <v>287</v>
      </c>
      <c r="E5" s="78" t="s">
        <v>287</v>
      </c>
      <c r="F5" s="78" t="s">
        <v>287</v>
      </c>
      <c r="G5" s="78" t="s">
        <v>287</v>
      </c>
      <c r="H5" s="78" t="s">
        <v>287</v>
      </c>
      <c r="I5" s="78" t="s">
        <v>287</v>
      </c>
      <c r="J5" s="78" t="s">
        <v>287</v>
      </c>
      <c r="K5" s="78" t="s">
        <v>287</v>
      </c>
    </row>
    <row r="6" spans="1:11">
      <c r="A6" s="33" t="s">
        <v>130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9.5" customHeight="1">
      <c r="A7" s="111" t="s">
        <v>131</v>
      </c>
      <c r="B7" s="110">
        <f>SUM(B3:B6)</f>
        <v>0</v>
      </c>
      <c r="C7" s="110">
        <f t="shared" ref="C7:K7" si="0">SUM(C3:C6)</f>
        <v>0</v>
      </c>
      <c r="D7" s="110">
        <f>SUM(D3:D6)</f>
        <v>1421856.4719487503</v>
      </c>
      <c r="E7" s="110">
        <f t="shared" si="0"/>
        <v>0</v>
      </c>
      <c r="F7" s="110">
        <f t="shared" si="0"/>
        <v>0</v>
      </c>
      <c r="G7" s="110">
        <f t="shared" si="0"/>
        <v>0</v>
      </c>
      <c r="H7" s="110">
        <f t="shared" si="0"/>
        <v>0</v>
      </c>
      <c r="I7" s="110">
        <f t="shared" si="0"/>
        <v>0</v>
      </c>
      <c r="J7" s="110">
        <f t="shared" si="0"/>
        <v>0</v>
      </c>
      <c r="K7" s="110">
        <f t="shared" si="0"/>
        <v>0</v>
      </c>
    </row>
  </sheetData>
  <mergeCells count="1">
    <mergeCell ref="A1:I1"/>
  </mergeCells>
  <pageMargins left="0.7" right="0.7" top="0.75" bottom="0.75" header="0.3" footer="0.3"/>
  <pageSetup paperSize="9" orientation="landscape" horizontalDpi="0" verticalDpi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F0909-E2F4-B749-9021-3CA962CB5B72}">
  <dimension ref="A1:J5"/>
  <sheetViews>
    <sheetView topLeftCell="D1" zoomScale="120" zoomScaleNormal="120" workbookViewId="0">
      <selection activeCell="J16" sqref="J16"/>
    </sheetView>
  </sheetViews>
  <sheetFormatPr baseColWidth="10" defaultRowHeight="15"/>
  <cols>
    <col min="1" max="2" width="10.83203125" style="3"/>
    <col min="3" max="3" width="15.33203125" style="3" customWidth="1"/>
    <col min="4" max="4" width="21.5" style="3" customWidth="1"/>
    <col min="5" max="7" width="10.83203125" style="3"/>
    <col min="8" max="8" width="18.33203125" style="3" customWidth="1"/>
    <col min="9" max="9" width="20.5" style="3" customWidth="1"/>
    <col min="10" max="10" width="19.83203125" style="3" customWidth="1"/>
    <col min="11" max="16384" width="10.83203125" style="3"/>
  </cols>
  <sheetData>
    <row r="1" spans="1:10" ht="22" customHeight="1">
      <c r="A1" s="795" t="s">
        <v>293</v>
      </c>
      <c r="B1" s="795"/>
      <c r="C1" s="795"/>
      <c r="E1" s="65" t="s">
        <v>147</v>
      </c>
      <c r="F1" s="586" t="s">
        <v>1224</v>
      </c>
      <c r="H1" s="796" t="s">
        <v>1189</v>
      </c>
      <c r="I1" s="796"/>
      <c r="J1" s="65" t="s">
        <v>1225</v>
      </c>
    </row>
    <row r="2" spans="1:10" ht="64">
      <c r="A2" s="202" t="s">
        <v>296</v>
      </c>
      <c r="B2" s="202" t="s">
        <v>21</v>
      </c>
      <c r="C2" s="202" t="s">
        <v>295</v>
      </c>
      <c r="D2" s="202" t="s">
        <v>294</v>
      </c>
      <c r="E2" s="202" t="s">
        <v>298</v>
      </c>
      <c r="F2" s="202" t="s">
        <v>299</v>
      </c>
      <c r="H2" s="634" t="s">
        <v>1191</v>
      </c>
      <c r="I2" s="634" t="s">
        <v>1192</v>
      </c>
      <c r="J2" s="634" t="s">
        <v>1190</v>
      </c>
    </row>
    <row r="3" spans="1:10" ht="32">
      <c r="A3" s="30" t="s">
        <v>297</v>
      </c>
      <c r="B3" s="32">
        <f>30*10000</f>
        <v>300000</v>
      </c>
      <c r="C3" s="32">
        <f>407516405.2/3006170</f>
        <v>135.56</v>
      </c>
      <c r="D3" s="32">
        <f>B3*C3</f>
        <v>40668000</v>
      </c>
      <c r="E3" s="59">
        <v>1.4999999999999999E-2</v>
      </c>
      <c r="F3" s="32">
        <f>E3*D3/1000</f>
        <v>610.02</v>
      </c>
      <c r="H3" s="32">
        <f>'27_Вода'!F10</f>
        <v>1195718.5757815333</v>
      </c>
      <c r="I3" s="43">
        <f>'20_Tax'!C9</f>
        <v>0.35</v>
      </c>
      <c r="J3" s="32">
        <f>H3*I3/1000</f>
        <v>418.5015015235366</v>
      </c>
    </row>
    <row r="5" spans="1:10" ht="16" customHeight="1"/>
  </sheetData>
  <mergeCells count="2">
    <mergeCell ref="A1:C1"/>
    <mergeCell ref="H1:I1"/>
  </mergeCells>
  <pageMargins left="0.7" right="0.7" top="0.75" bottom="0.75" header="0.3" footer="0.3"/>
  <pageSetup paperSize="9" orientation="landscape" horizontalDpi="0" verticalDpi="0"/>
  <legacy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J3"/>
  <sheetViews>
    <sheetView workbookViewId="0">
      <selection activeCell="C1" sqref="C1:BJ1"/>
    </sheetView>
  </sheetViews>
  <sheetFormatPr baseColWidth="10" defaultColWidth="8.83203125" defaultRowHeight="15"/>
  <cols>
    <col min="1" max="1" width="11.5" bestFit="1" customWidth="1"/>
    <col min="2" max="2" width="10.1640625" bestFit="1" customWidth="1"/>
    <col min="3" max="3" width="6.6640625" bestFit="1" customWidth="1"/>
    <col min="4" max="5" width="7.5" bestFit="1" customWidth="1"/>
    <col min="6" max="6" width="6.33203125" bestFit="1" customWidth="1"/>
    <col min="7" max="7" width="6.6640625" bestFit="1" customWidth="1"/>
    <col min="8" max="9" width="7.83203125" bestFit="1" customWidth="1"/>
    <col min="10" max="10" width="6" bestFit="1" customWidth="1"/>
    <col min="11" max="11" width="7" bestFit="1" customWidth="1"/>
    <col min="12" max="12" width="6.1640625" bestFit="1" customWidth="1"/>
    <col min="13" max="13" width="7.33203125" bestFit="1" customWidth="1"/>
    <col min="14" max="15" width="6.33203125" bestFit="1" customWidth="1"/>
    <col min="16" max="17" width="7.5" bestFit="1" customWidth="1"/>
    <col min="18" max="18" width="6.33203125" bestFit="1" customWidth="1"/>
    <col min="19" max="19" width="6.6640625" bestFit="1" customWidth="1"/>
    <col min="20" max="21" width="7.83203125" bestFit="1" customWidth="1"/>
    <col min="22" max="22" width="6" bestFit="1" customWidth="1"/>
    <col min="23" max="23" width="7" bestFit="1" customWidth="1"/>
    <col min="24" max="24" width="6.1640625" bestFit="1" customWidth="1"/>
    <col min="25" max="25" width="7.33203125" bestFit="1" customWidth="1"/>
    <col min="26" max="27" width="6.33203125" bestFit="1" customWidth="1"/>
    <col min="28" max="29" width="7.5" bestFit="1" customWidth="1"/>
    <col min="30" max="30" width="6.33203125" bestFit="1" customWidth="1"/>
    <col min="31" max="31" width="6.6640625" bestFit="1" customWidth="1"/>
    <col min="32" max="33" width="7.83203125" bestFit="1" customWidth="1"/>
    <col min="34" max="34" width="6" bestFit="1" customWidth="1"/>
    <col min="35" max="35" width="7" bestFit="1" customWidth="1"/>
    <col min="36" max="36" width="6.1640625" bestFit="1" customWidth="1"/>
    <col min="37" max="37" width="7.33203125" bestFit="1" customWidth="1"/>
    <col min="38" max="39" width="6.33203125" bestFit="1" customWidth="1"/>
    <col min="40" max="41" width="7.5" bestFit="1" customWidth="1"/>
    <col min="42" max="42" width="6.33203125" bestFit="1" customWidth="1"/>
    <col min="43" max="43" width="6.6640625" bestFit="1" customWidth="1"/>
    <col min="44" max="45" width="7.83203125" bestFit="1" customWidth="1"/>
    <col min="46" max="46" width="6" bestFit="1" customWidth="1"/>
    <col min="47" max="47" width="7" bestFit="1" customWidth="1"/>
    <col min="48" max="48" width="6.1640625" bestFit="1" customWidth="1"/>
    <col min="49" max="49" width="7.33203125" bestFit="1" customWidth="1"/>
    <col min="50" max="51" width="6.33203125" bestFit="1" customWidth="1"/>
    <col min="52" max="53" width="7.5" bestFit="1" customWidth="1"/>
    <col min="54" max="54" width="6.33203125" bestFit="1" customWidth="1"/>
    <col min="55" max="55" width="6.6640625" bestFit="1" customWidth="1"/>
    <col min="56" max="57" width="7.83203125" bestFit="1" customWidth="1"/>
    <col min="58" max="58" width="6" bestFit="1" customWidth="1"/>
    <col min="59" max="59" width="7" bestFit="1" customWidth="1"/>
    <col min="60" max="60" width="6.1640625" bestFit="1" customWidth="1"/>
    <col min="61" max="61" width="7.33203125" bestFit="1" customWidth="1"/>
    <col min="62" max="62" width="6.33203125" bestFit="1" customWidth="1"/>
  </cols>
  <sheetData>
    <row r="1" spans="1:62">
      <c r="A1" s="53" t="s">
        <v>31</v>
      </c>
      <c r="B1" s="54">
        <v>44348</v>
      </c>
      <c r="C1" s="55">
        <v>44562</v>
      </c>
      <c r="D1" s="55">
        <v>44593</v>
      </c>
      <c r="E1" s="55">
        <v>44621</v>
      </c>
      <c r="F1" s="55">
        <v>44652</v>
      </c>
      <c r="G1" s="55">
        <v>44682</v>
      </c>
      <c r="H1" s="55">
        <v>44713</v>
      </c>
      <c r="I1" s="55">
        <v>44743</v>
      </c>
      <c r="J1" s="55">
        <v>44774</v>
      </c>
      <c r="K1" s="55">
        <v>44805</v>
      </c>
      <c r="L1" s="55">
        <v>44835</v>
      </c>
      <c r="M1" s="55">
        <v>44866</v>
      </c>
      <c r="N1" s="55">
        <v>44896</v>
      </c>
      <c r="O1" s="55">
        <v>44927</v>
      </c>
      <c r="P1" s="55">
        <v>44958</v>
      </c>
      <c r="Q1" s="55">
        <v>44986</v>
      </c>
      <c r="R1" s="55">
        <v>45017</v>
      </c>
      <c r="S1" s="55">
        <v>45047</v>
      </c>
      <c r="T1" s="55">
        <v>45078</v>
      </c>
      <c r="U1" s="55">
        <v>45108</v>
      </c>
      <c r="V1" s="55">
        <v>45139</v>
      </c>
      <c r="W1" s="55">
        <v>45170</v>
      </c>
      <c r="X1" s="55">
        <v>45200</v>
      </c>
      <c r="Y1" s="55">
        <v>45231</v>
      </c>
      <c r="Z1" s="55">
        <v>45261</v>
      </c>
      <c r="AA1" s="55">
        <v>45292</v>
      </c>
      <c r="AB1" s="55">
        <v>45323</v>
      </c>
      <c r="AC1" s="55">
        <v>45352</v>
      </c>
      <c r="AD1" s="55">
        <v>45383</v>
      </c>
      <c r="AE1" s="55">
        <v>45413</v>
      </c>
      <c r="AF1" s="55">
        <v>45444</v>
      </c>
      <c r="AG1" s="55">
        <v>45474</v>
      </c>
      <c r="AH1" s="55">
        <v>45505</v>
      </c>
      <c r="AI1" s="55">
        <v>45536</v>
      </c>
      <c r="AJ1" s="55">
        <v>45566</v>
      </c>
      <c r="AK1" s="55">
        <v>45597</v>
      </c>
      <c r="AL1" s="55">
        <v>45627</v>
      </c>
      <c r="AM1" s="55">
        <v>45658</v>
      </c>
      <c r="AN1" s="55">
        <v>45689</v>
      </c>
      <c r="AO1" s="55">
        <v>45717</v>
      </c>
      <c r="AP1" s="55">
        <v>45748</v>
      </c>
      <c r="AQ1" s="55">
        <v>45778</v>
      </c>
      <c r="AR1" s="55">
        <v>45809</v>
      </c>
      <c r="AS1" s="55">
        <v>45839</v>
      </c>
      <c r="AT1" s="55">
        <v>45870</v>
      </c>
      <c r="AU1" s="55">
        <v>45901</v>
      </c>
      <c r="AV1" s="55">
        <v>45931</v>
      </c>
      <c r="AW1" s="55">
        <v>45962</v>
      </c>
      <c r="AX1" s="55">
        <v>45992</v>
      </c>
      <c r="AY1" s="55">
        <v>46023</v>
      </c>
      <c r="AZ1" s="55">
        <v>46054</v>
      </c>
      <c r="BA1" s="55">
        <v>46082</v>
      </c>
      <c r="BB1" s="55">
        <v>46113</v>
      </c>
      <c r="BC1" s="55">
        <v>46143</v>
      </c>
      <c r="BD1" s="55">
        <v>46174</v>
      </c>
      <c r="BE1" s="55">
        <v>46204</v>
      </c>
      <c r="BF1" s="55">
        <v>46235</v>
      </c>
      <c r="BG1" s="55">
        <v>46266</v>
      </c>
      <c r="BH1" s="55">
        <v>46296</v>
      </c>
      <c r="BI1" s="55">
        <v>46327</v>
      </c>
      <c r="BJ1" s="55">
        <v>46357</v>
      </c>
    </row>
    <row r="2" spans="1:62">
      <c r="A2" s="33" t="s">
        <v>75</v>
      </c>
      <c r="B2" s="56">
        <v>72.843599999999995</v>
      </c>
      <c r="C2" s="56">
        <f>B2*(1+C3)</f>
        <v>72.843599999999995</v>
      </c>
      <c r="D2" s="56">
        <f t="shared" ref="D2:Y2" si="0">C2*(1+D3)</f>
        <v>72.843599999999995</v>
      </c>
      <c r="E2" s="56">
        <f t="shared" si="0"/>
        <v>72.843599999999995</v>
      </c>
      <c r="F2" s="56">
        <f t="shared" si="0"/>
        <v>72.843599999999995</v>
      </c>
      <c r="G2" s="56">
        <f t="shared" si="0"/>
        <v>72.843599999999995</v>
      </c>
      <c r="H2" s="56">
        <f t="shared" si="0"/>
        <v>72.843599999999995</v>
      </c>
      <c r="I2" s="56">
        <f t="shared" si="0"/>
        <v>72.843599999999995</v>
      </c>
      <c r="J2" s="56">
        <f t="shared" si="0"/>
        <v>72.843599999999995</v>
      </c>
      <c r="K2" s="56">
        <f t="shared" si="0"/>
        <v>72.843599999999995</v>
      </c>
      <c r="L2" s="56">
        <f t="shared" si="0"/>
        <v>72.843599999999995</v>
      </c>
      <c r="M2" s="56">
        <f t="shared" si="0"/>
        <v>72.843599999999995</v>
      </c>
      <c r="N2" s="56">
        <f t="shared" si="0"/>
        <v>72.843599999999995</v>
      </c>
      <c r="O2" s="56">
        <f t="shared" si="0"/>
        <v>72.843599999999995</v>
      </c>
      <c r="P2" s="56">
        <f t="shared" si="0"/>
        <v>72.843599999999995</v>
      </c>
      <c r="Q2" s="56">
        <f t="shared" si="0"/>
        <v>72.843599999999995</v>
      </c>
      <c r="R2" s="56">
        <f t="shared" si="0"/>
        <v>72.843599999999995</v>
      </c>
      <c r="S2" s="56">
        <f t="shared" si="0"/>
        <v>72.843599999999995</v>
      </c>
      <c r="T2" s="56">
        <f t="shared" si="0"/>
        <v>72.843599999999995</v>
      </c>
      <c r="U2" s="56">
        <f t="shared" si="0"/>
        <v>72.843599999999995</v>
      </c>
      <c r="V2" s="56">
        <f t="shared" si="0"/>
        <v>72.843599999999995</v>
      </c>
      <c r="W2" s="56">
        <f t="shared" si="0"/>
        <v>72.843599999999995</v>
      </c>
      <c r="X2" s="56">
        <f t="shared" si="0"/>
        <v>72.843599999999995</v>
      </c>
      <c r="Y2" s="56">
        <f t="shared" si="0"/>
        <v>72.843599999999995</v>
      </c>
      <c r="Z2" s="56">
        <f t="shared" ref="Z2:BJ2" si="1">Y2*(1+Z3)</f>
        <v>72.843599999999995</v>
      </c>
      <c r="AA2" s="56">
        <f t="shared" si="1"/>
        <v>72.843599999999995</v>
      </c>
      <c r="AB2" s="56">
        <f t="shared" si="1"/>
        <v>72.843599999999995</v>
      </c>
      <c r="AC2" s="56">
        <f t="shared" si="1"/>
        <v>72.843599999999995</v>
      </c>
      <c r="AD2" s="56">
        <f t="shared" si="1"/>
        <v>72.843599999999995</v>
      </c>
      <c r="AE2" s="56">
        <f t="shared" si="1"/>
        <v>72.843599999999995</v>
      </c>
      <c r="AF2" s="56">
        <f t="shared" si="1"/>
        <v>72.843599999999995</v>
      </c>
      <c r="AG2" s="56">
        <f t="shared" si="1"/>
        <v>72.843599999999995</v>
      </c>
      <c r="AH2" s="56">
        <f t="shared" si="1"/>
        <v>72.843599999999995</v>
      </c>
      <c r="AI2" s="56">
        <f t="shared" si="1"/>
        <v>72.843599999999995</v>
      </c>
      <c r="AJ2" s="56">
        <f t="shared" si="1"/>
        <v>72.843599999999995</v>
      </c>
      <c r="AK2" s="56">
        <f t="shared" si="1"/>
        <v>72.843599999999995</v>
      </c>
      <c r="AL2" s="56">
        <f t="shared" si="1"/>
        <v>72.843599999999995</v>
      </c>
      <c r="AM2" s="56">
        <f t="shared" si="1"/>
        <v>72.843599999999995</v>
      </c>
      <c r="AN2" s="56">
        <f t="shared" si="1"/>
        <v>72.843599999999995</v>
      </c>
      <c r="AO2" s="56">
        <f t="shared" si="1"/>
        <v>72.843599999999995</v>
      </c>
      <c r="AP2" s="56">
        <f t="shared" si="1"/>
        <v>72.843599999999995</v>
      </c>
      <c r="AQ2" s="56">
        <f t="shared" si="1"/>
        <v>72.843599999999995</v>
      </c>
      <c r="AR2" s="56">
        <f t="shared" si="1"/>
        <v>72.843599999999995</v>
      </c>
      <c r="AS2" s="56">
        <f t="shared" si="1"/>
        <v>72.843599999999995</v>
      </c>
      <c r="AT2" s="56">
        <f t="shared" si="1"/>
        <v>72.843599999999995</v>
      </c>
      <c r="AU2" s="56">
        <f t="shared" si="1"/>
        <v>72.843599999999995</v>
      </c>
      <c r="AV2" s="56">
        <f t="shared" si="1"/>
        <v>72.843599999999995</v>
      </c>
      <c r="AW2" s="56">
        <f t="shared" si="1"/>
        <v>72.843599999999995</v>
      </c>
      <c r="AX2" s="56">
        <f t="shared" si="1"/>
        <v>72.843599999999995</v>
      </c>
      <c r="AY2" s="56">
        <f t="shared" si="1"/>
        <v>72.843599999999995</v>
      </c>
      <c r="AZ2" s="56">
        <f t="shared" si="1"/>
        <v>72.843599999999995</v>
      </c>
      <c r="BA2" s="56">
        <f t="shared" si="1"/>
        <v>72.843599999999995</v>
      </c>
      <c r="BB2" s="56">
        <f t="shared" si="1"/>
        <v>72.843599999999995</v>
      </c>
      <c r="BC2" s="56">
        <f t="shared" si="1"/>
        <v>72.843599999999995</v>
      </c>
      <c r="BD2" s="56">
        <f t="shared" si="1"/>
        <v>72.843599999999995</v>
      </c>
      <c r="BE2" s="56">
        <f t="shared" si="1"/>
        <v>72.843599999999995</v>
      </c>
      <c r="BF2" s="56">
        <f t="shared" si="1"/>
        <v>72.843599999999995</v>
      </c>
      <c r="BG2" s="56">
        <f t="shared" si="1"/>
        <v>72.843599999999995</v>
      </c>
      <c r="BH2" s="56">
        <f t="shared" si="1"/>
        <v>72.843599999999995</v>
      </c>
      <c r="BI2" s="56">
        <f t="shared" si="1"/>
        <v>72.843599999999995</v>
      </c>
      <c r="BJ2" s="56">
        <f t="shared" si="1"/>
        <v>72.843599999999995</v>
      </c>
    </row>
    <row r="3" spans="1:62">
      <c r="A3" s="33" t="s">
        <v>76</v>
      </c>
      <c r="B3" s="34"/>
      <c r="C3" s="45">
        <f>'0_Допущения'!$C$4/12</f>
        <v>0</v>
      </c>
      <c r="D3" s="45">
        <f>'0_Допущения'!$C$4/12</f>
        <v>0</v>
      </c>
      <c r="E3" s="45">
        <f>'0_Допущения'!$C$4/12</f>
        <v>0</v>
      </c>
      <c r="F3" s="45">
        <f>'0_Допущения'!$C$4/12</f>
        <v>0</v>
      </c>
      <c r="G3" s="45">
        <f>'0_Допущения'!$C$4/12</f>
        <v>0</v>
      </c>
      <c r="H3" s="45">
        <f>'0_Допущения'!$C$4/12</f>
        <v>0</v>
      </c>
      <c r="I3" s="45">
        <f>'0_Допущения'!$C$4/12</f>
        <v>0</v>
      </c>
      <c r="J3" s="45">
        <f>'0_Допущения'!$C$4/12</f>
        <v>0</v>
      </c>
      <c r="K3" s="45">
        <f>'0_Допущения'!$C$4/12</f>
        <v>0</v>
      </c>
      <c r="L3" s="45">
        <f>'0_Допущения'!$C$4/12</f>
        <v>0</v>
      </c>
      <c r="M3" s="45">
        <f>'0_Допущения'!$C$4/12</f>
        <v>0</v>
      </c>
      <c r="N3" s="45">
        <f>'0_Допущения'!$C$4/12</f>
        <v>0</v>
      </c>
      <c r="O3" s="45">
        <f>'0_Допущения'!$C$4/12</f>
        <v>0</v>
      </c>
      <c r="P3" s="45">
        <f>'0_Допущения'!$C$4/12</f>
        <v>0</v>
      </c>
      <c r="Q3" s="45">
        <f>'0_Допущения'!$C$4/12</f>
        <v>0</v>
      </c>
      <c r="R3" s="45">
        <f>'0_Допущения'!$C$4/12</f>
        <v>0</v>
      </c>
      <c r="S3" s="45">
        <f>'0_Допущения'!$C$4/12</f>
        <v>0</v>
      </c>
      <c r="T3" s="45">
        <f>'0_Допущения'!$C$4/12</f>
        <v>0</v>
      </c>
      <c r="U3" s="45">
        <f>'0_Допущения'!$C$4/12</f>
        <v>0</v>
      </c>
      <c r="V3" s="45">
        <f>'0_Допущения'!$C$4/12</f>
        <v>0</v>
      </c>
      <c r="W3" s="45">
        <f>'0_Допущения'!$C$4/12</f>
        <v>0</v>
      </c>
      <c r="X3" s="45">
        <f>'0_Допущения'!$C$4/12</f>
        <v>0</v>
      </c>
      <c r="Y3" s="45">
        <f>'0_Допущения'!$C$4/12</f>
        <v>0</v>
      </c>
      <c r="Z3" s="45">
        <f>'0_Допущения'!$C$4/12</f>
        <v>0</v>
      </c>
      <c r="AA3" s="45">
        <f>'0_Допущения'!$C$4/12</f>
        <v>0</v>
      </c>
      <c r="AB3" s="45">
        <f>'0_Допущения'!$C$4/12</f>
        <v>0</v>
      </c>
      <c r="AC3" s="45">
        <f>'0_Допущения'!$C$4/12</f>
        <v>0</v>
      </c>
      <c r="AD3" s="45">
        <f>'0_Допущения'!$C$4/12</f>
        <v>0</v>
      </c>
      <c r="AE3" s="45">
        <f>'0_Допущения'!$C$4/12</f>
        <v>0</v>
      </c>
      <c r="AF3" s="45">
        <f>'0_Допущения'!$C$4/12</f>
        <v>0</v>
      </c>
      <c r="AG3" s="45">
        <f>'0_Допущения'!$C$4/12</f>
        <v>0</v>
      </c>
      <c r="AH3" s="45">
        <f>'0_Допущения'!$C$4/12</f>
        <v>0</v>
      </c>
      <c r="AI3" s="45">
        <f>'0_Допущения'!$C$4/12</f>
        <v>0</v>
      </c>
      <c r="AJ3" s="45">
        <f>'0_Допущения'!$C$4/12</f>
        <v>0</v>
      </c>
      <c r="AK3" s="45">
        <f>'0_Допущения'!$C$4/12</f>
        <v>0</v>
      </c>
      <c r="AL3" s="45">
        <f>'0_Допущения'!$C$4/12</f>
        <v>0</v>
      </c>
      <c r="AM3" s="45">
        <f>'0_Допущения'!$C$4/12</f>
        <v>0</v>
      </c>
      <c r="AN3" s="45">
        <f>'0_Допущения'!$C$4/12</f>
        <v>0</v>
      </c>
      <c r="AO3" s="45">
        <f>'0_Допущения'!$C$4/12</f>
        <v>0</v>
      </c>
      <c r="AP3" s="45">
        <f>'0_Допущения'!$C$4/12</f>
        <v>0</v>
      </c>
      <c r="AQ3" s="45">
        <f>'0_Допущения'!$C$4/12</f>
        <v>0</v>
      </c>
      <c r="AR3" s="45">
        <f>'0_Допущения'!$C$4/12</f>
        <v>0</v>
      </c>
      <c r="AS3" s="45">
        <f>'0_Допущения'!$C$4/12</f>
        <v>0</v>
      </c>
      <c r="AT3" s="45">
        <f>'0_Допущения'!$C$4/12</f>
        <v>0</v>
      </c>
      <c r="AU3" s="45">
        <f>'0_Допущения'!$C$4/12</f>
        <v>0</v>
      </c>
      <c r="AV3" s="45">
        <f>'0_Допущения'!$C$4/12</f>
        <v>0</v>
      </c>
      <c r="AW3" s="45">
        <f>'0_Допущения'!$C$4/12</f>
        <v>0</v>
      </c>
      <c r="AX3" s="45">
        <f>'0_Допущения'!$C$4/12</f>
        <v>0</v>
      </c>
      <c r="AY3" s="45">
        <f>'0_Допущения'!$C$4/12</f>
        <v>0</v>
      </c>
      <c r="AZ3" s="45">
        <f>'0_Допущения'!$C$4/12</f>
        <v>0</v>
      </c>
      <c r="BA3" s="45">
        <f>'0_Допущения'!$C$4/12</f>
        <v>0</v>
      </c>
      <c r="BB3" s="45">
        <f>'0_Допущения'!$C$4/12</f>
        <v>0</v>
      </c>
      <c r="BC3" s="45">
        <f>'0_Допущения'!$C$4/12</f>
        <v>0</v>
      </c>
      <c r="BD3" s="45">
        <f>'0_Допущения'!$C$4/12</f>
        <v>0</v>
      </c>
      <c r="BE3" s="45">
        <f>'0_Допущения'!$C$4/12</f>
        <v>0</v>
      </c>
      <c r="BF3" s="45">
        <f>'0_Допущения'!$C$4/12</f>
        <v>0</v>
      </c>
      <c r="BG3" s="45">
        <f>'0_Допущения'!$C$4/12</f>
        <v>0</v>
      </c>
      <c r="BH3" s="45">
        <f>'0_Допущения'!$C$4/12</f>
        <v>0</v>
      </c>
      <c r="BI3" s="45">
        <f>'0_Допущения'!$C$4/12</f>
        <v>0</v>
      </c>
      <c r="BJ3" s="45">
        <f>'0_Допущения'!$C$4/12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5"/>
  <sheetViews>
    <sheetView workbookViewId="0">
      <selection activeCell="H17" sqref="H17"/>
    </sheetView>
  </sheetViews>
  <sheetFormatPr baseColWidth="10" defaultColWidth="9.1640625" defaultRowHeight="15"/>
  <cols>
    <col min="1" max="1" width="14.83203125" style="3" customWidth="1"/>
    <col min="2" max="2" width="9.83203125" style="3" bestFit="1" customWidth="1"/>
    <col min="3" max="3" width="12.6640625" style="3" bestFit="1" customWidth="1"/>
    <col min="4" max="4" width="18.33203125" style="3" bestFit="1" customWidth="1"/>
    <col min="5" max="5" width="15.1640625" style="3" customWidth="1"/>
    <col min="6" max="6" width="18.6640625" style="3" customWidth="1"/>
    <col min="7" max="7" width="13.83203125" style="3" bestFit="1" customWidth="1"/>
    <col min="8" max="8" width="13.6640625" style="3" bestFit="1" customWidth="1"/>
    <col min="9" max="16384" width="9.1640625" style="3"/>
  </cols>
  <sheetData>
    <row r="1" spans="1:8" ht="28" customHeight="1">
      <c r="A1" s="795" t="s">
        <v>1193</v>
      </c>
      <c r="B1" s="795"/>
      <c r="C1" s="795"/>
      <c r="D1" s="795"/>
      <c r="E1" s="795"/>
      <c r="F1" s="795"/>
      <c r="G1" s="65" t="s">
        <v>289</v>
      </c>
      <c r="H1" s="6">
        <v>21</v>
      </c>
    </row>
    <row r="2" spans="1:8" ht="48">
      <c r="A2" s="99" t="s">
        <v>63</v>
      </c>
      <c r="B2" s="99" t="s">
        <v>21</v>
      </c>
      <c r="C2" s="99" t="s">
        <v>22</v>
      </c>
      <c r="D2" s="99" t="s">
        <v>23</v>
      </c>
      <c r="E2" s="757" t="s">
        <v>24</v>
      </c>
      <c r="F2" s="99" t="s">
        <v>25</v>
      </c>
      <c r="G2" s="99" t="s">
        <v>26</v>
      </c>
      <c r="H2" s="99" t="s">
        <v>124</v>
      </c>
    </row>
    <row r="3" spans="1:8" ht="32">
      <c r="A3" s="94" t="s">
        <v>123</v>
      </c>
      <c r="B3" s="98">
        <f>'3_Здания'!C6+'3_Здания'!C10+'3_Здания'!C11</f>
        <v>32049.999999999996</v>
      </c>
      <c r="C3" s="98">
        <v>3000</v>
      </c>
      <c r="D3" s="94">
        <v>7</v>
      </c>
      <c r="E3" s="98">
        <f>B3*C3</f>
        <v>96149999.999999985</v>
      </c>
      <c r="F3" s="95">
        <v>6.6100000000000006E-2</v>
      </c>
      <c r="G3" s="96">
        <f>F3/((1+F3)^D3-1)</f>
        <v>0.1169379973851216</v>
      </c>
      <c r="H3" s="98">
        <f>E3*G3/1000</f>
        <v>11243.58844857944</v>
      </c>
    </row>
    <row r="4" spans="1:8">
      <c r="A4" s="97"/>
      <c r="B4" s="97"/>
      <c r="C4" s="97"/>
      <c r="D4" s="97"/>
      <c r="E4" s="97"/>
      <c r="F4" s="97"/>
      <c r="G4" s="97"/>
      <c r="H4" s="97"/>
    </row>
    <row r="5" spans="1:8">
      <c r="A5" s="97"/>
      <c r="B5" s="97"/>
      <c r="C5" s="97"/>
      <c r="D5" s="97"/>
      <c r="E5" s="97"/>
      <c r="F5" s="97"/>
      <c r="G5" s="97"/>
      <c r="H5" s="97"/>
    </row>
  </sheetData>
  <mergeCells count="1">
    <mergeCell ref="A1:F1"/>
  </mergeCells>
  <pageMargins left="0.7" right="0.7" top="0.75" bottom="0.75" header="0.3" footer="0.3"/>
  <pageSetup paperSize="9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L28"/>
  <sheetViews>
    <sheetView zoomScale="130" zoomScaleNormal="130" workbookViewId="0">
      <selection activeCell="L1" sqref="L1"/>
    </sheetView>
  </sheetViews>
  <sheetFormatPr baseColWidth="10" defaultColWidth="9.1640625" defaultRowHeight="15"/>
  <cols>
    <col min="1" max="1" width="26.5" style="1" bestFit="1" customWidth="1"/>
    <col min="2" max="2" width="15.5" style="1" bestFit="1" customWidth="1"/>
    <col min="3" max="5" width="8.83203125" style="1" bestFit="1" customWidth="1"/>
    <col min="6" max="6" width="10.6640625" style="1" bestFit="1" customWidth="1"/>
    <col min="7" max="7" width="8.83203125" style="1" bestFit="1" customWidth="1"/>
    <col min="8" max="10" width="8" style="1" bestFit="1" customWidth="1"/>
    <col min="11" max="11" width="8.83203125" style="1" bestFit="1" customWidth="1"/>
    <col min="12" max="12" width="9.33203125" style="1" bestFit="1" customWidth="1"/>
    <col min="13" max="16384" width="9.1640625" style="1"/>
  </cols>
  <sheetData>
    <row r="1" spans="1:12" ht="21" customHeight="1">
      <c r="A1" s="785" t="s">
        <v>1194</v>
      </c>
      <c r="B1" s="785"/>
      <c r="C1" s="785"/>
      <c r="D1" s="785"/>
      <c r="E1" s="785"/>
      <c r="F1" s="785"/>
      <c r="G1" s="785"/>
      <c r="H1" s="785"/>
      <c r="I1" s="785"/>
      <c r="J1" s="785"/>
      <c r="K1" s="751" t="s">
        <v>147</v>
      </c>
      <c r="L1" s="752">
        <v>22</v>
      </c>
    </row>
    <row r="2" spans="1:12" ht="19.5" customHeight="1">
      <c r="A2" s="857" t="s">
        <v>347</v>
      </c>
      <c r="B2" s="857"/>
      <c r="C2" s="857"/>
      <c r="D2" s="857"/>
      <c r="E2" s="857"/>
      <c r="F2" s="857"/>
      <c r="G2" s="857"/>
      <c r="H2" s="857"/>
    </row>
    <row r="3" spans="1:12" ht="48">
      <c r="A3" s="30"/>
      <c r="B3" s="63" t="s">
        <v>573</v>
      </c>
      <c r="C3" s="375">
        <f>'9_Пр-во'!D2</f>
        <v>2024</v>
      </c>
      <c r="D3" s="375">
        <f>'9_Пр-во'!E2</f>
        <v>2025</v>
      </c>
      <c r="E3" s="375">
        <f>'9_Пр-во'!F2</f>
        <v>2026</v>
      </c>
      <c r="F3" s="375">
        <f>'9_Пр-во'!G2</f>
        <v>2027</v>
      </c>
      <c r="G3" s="375">
        <f>'9_Пр-во'!H2</f>
        <v>2028</v>
      </c>
      <c r="H3" s="375">
        <f>'9_Пр-во'!I2</f>
        <v>2029</v>
      </c>
      <c r="I3" s="375">
        <f>'9_Пр-во'!J2</f>
        <v>2030</v>
      </c>
      <c r="J3" s="375">
        <f>'9_Пр-во'!K2</f>
        <v>2031</v>
      </c>
      <c r="K3" s="375">
        <f>'9_Пр-во'!L2</f>
        <v>2032</v>
      </c>
      <c r="L3" s="375">
        <f>'9_Пр-во'!M2</f>
        <v>2033</v>
      </c>
    </row>
    <row r="4" spans="1:12">
      <c r="A4" s="30"/>
      <c r="B4" s="63"/>
      <c r="C4" s="63">
        <v>1</v>
      </c>
      <c r="D4" s="63">
        <v>2</v>
      </c>
      <c r="E4" s="63">
        <v>3</v>
      </c>
      <c r="F4" s="63">
        <v>4</v>
      </c>
      <c r="G4" s="63">
        <v>5</v>
      </c>
      <c r="H4" s="63">
        <v>6</v>
      </c>
      <c r="I4" s="63">
        <v>7</v>
      </c>
      <c r="J4" s="63">
        <v>8</v>
      </c>
      <c r="K4" s="63">
        <v>9</v>
      </c>
      <c r="L4" s="63">
        <v>10</v>
      </c>
    </row>
    <row r="5" spans="1:12" ht="16">
      <c r="A5" s="86" t="s">
        <v>117</v>
      </c>
      <c r="B5" s="87">
        <v>30</v>
      </c>
      <c r="C5" s="88">
        <f>1/B5</f>
        <v>3.3333333333333333E-2</v>
      </c>
      <c r="D5" s="52"/>
      <c r="E5" s="52"/>
      <c r="F5" s="52"/>
      <c r="G5" s="52"/>
      <c r="H5" s="52"/>
      <c r="I5" s="52"/>
      <c r="J5" s="52"/>
      <c r="K5" s="52"/>
      <c r="L5" s="52"/>
    </row>
    <row r="6" spans="1:12" ht="16">
      <c r="A6" s="52" t="s">
        <v>118</v>
      </c>
      <c r="B6" s="89"/>
      <c r="C6" s="90">
        <v>0</v>
      </c>
      <c r="D6" s="90">
        <f>C6</f>
        <v>0</v>
      </c>
      <c r="E6" s="90">
        <f>D8</f>
        <v>0</v>
      </c>
      <c r="F6" s="90">
        <f>'3_Здания'!G46</f>
        <v>2495414.4240833335</v>
      </c>
      <c r="G6" s="90">
        <f t="shared" ref="G6:L6" si="0">F8</f>
        <v>2412233.9432805558</v>
      </c>
      <c r="H6" s="90">
        <f t="shared" si="0"/>
        <v>2329053.4624777781</v>
      </c>
      <c r="I6" s="90">
        <f t="shared" si="0"/>
        <v>2245872.9816750004</v>
      </c>
      <c r="J6" s="90">
        <f t="shared" si="0"/>
        <v>2162692.5008722227</v>
      </c>
      <c r="K6" s="90">
        <f t="shared" si="0"/>
        <v>2079512.020069445</v>
      </c>
      <c r="L6" s="90">
        <f t="shared" si="0"/>
        <v>1996331.5392666673</v>
      </c>
    </row>
    <row r="7" spans="1:12" ht="16">
      <c r="A7" s="52" t="s">
        <v>119</v>
      </c>
      <c r="B7" s="89"/>
      <c r="C7" s="90">
        <f>C5*C6</f>
        <v>0</v>
      </c>
      <c r="D7" s="90">
        <f>C5*D6</f>
        <v>0</v>
      </c>
      <c r="E7" s="90">
        <f>$C$5*D6</f>
        <v>0</v>
      </c>
      <c r="F7" s="90">
        <f>F6*$C$5</f>
        <v>83180.480802777776</v>
      </c>
      <c r="G7" s="90">
        <f t="shared" ref="G7:L7" si="1">F7</f>
        <v>83180.480802777776</v>
      </c>
      <c r="H7" s="90">
        <f t="shared" si="1"/>
        <v>83180.480802777776</v>
      </c>
      <c r="I7" s="90">
        <f t="shared" si="1"/>
        <v>83180.480802777776</v>
      </c>
      <c r="J7" s="90">
        <f t="shared" si="1"/>
        <v>83180.480802777776</v>
      </c>
      <c r="K7" s="90">
        <f t="shared" si="1"/>
        <v>83180.480802777776</v>
      </c>
      <c r="L7" s="90">
        <f t="shared" si="1"/>
        <v>83180.480802777776</v>
      </c>
    </row>
    <row r="8" spans="1:12" ht="16">
      <c r="A8" s="52" t="s">
        <v>120</v>
      </c>
      <c r="B8" s="89"/>
      <c r="C8" s="90">
        <f>C6-C7</f>
        <v>0</v>
      </c>
      <c r="D8" s="90">
        <f t="shared" ref="D8:L8" si="2">D6-D7</f>
        <v>0</v>
      </c>
      <c r="E8" s="90">
        <f t="shared" si="2"/>
        <v>0</v>
      </c>
      <c r="F8" s="90">
        <f>F6-F7</f>
        <v>2412233.9432805558</v>
      </c>
      <c r="G8" s="90">
        <f t="shared" si="2"/>
        <v>2329053.4624777781</v>
      </c>
      <c r="H8" s="90">
        <f t="shared" si="2"/>
        <v>2245872.9816750004</v>
      </c>
      <c r="I8" s="90">
        <f t="shared" si="2"/>
        <v>2162692.5008722227</v>
      </c>
      <c r="J8" s="90">
        <f t="shared" si="2"/>
        <v>2079512.020069445</v>
      </c>
      <c r="K8" s="90">
        <f t="shared" si="2"/>
        <v>1996331.5392666673</v>
      </c>
      <c r="L8" s="90">
        <f t="shared" si="2"/>
        <v>1913151.0584638896</v>
      </c>
    </row>
    <row r="9" spans="1:12" ht="16">
      <c r="A9" s="86" t="s">
        <v>44</v>
      </c>
      <c r="B9" s="87">
        <v>10</v>
      </c>
      <c r="C9" s="88">
        <f>1/B9</f>
        <v>0.1</v>
      </c>
      <c r="D9" s="52"/>
      <c r="E9" s="52"/>
      <c r="F9" s="52"/>
      <c r="G9" s="52"/>
      <c r="H9" s="52"/>
      <c r="I9" s="52"/>
      <c r="J9" s="52"/>
      <c r="K9" s="52"/>
      <c r="L9" s="52"/>
    </row>
    <row r="10" spans="1:12" ht="16">
      <c r="A10" s="52" t="s">
        <v>118</v>
      </c>
      <c r="B10" s="89"/>
      <c r="C10" s="90">
        <v>0</v>
      </c>
      <c r="D10" s="90">
        <f>C12</f>
        <v>0</v>
      </c>
      <c r="E10" s="90">
        <f t="shared" ref="E10:L10" si="3">D12</f>
        <v>0</v>
      </c>
      <c r="F10" s="90">
        <f>'5_Оборуд'!L18</f>
        <v>3562512.7943210555</v>
      </c>
      <c r="G10" s="90">
        <f t="shared" si="3"/>
        <v>3206261.5148889497</v>
      </c>
      <c r="H10" s="90">
        <f t="shared" si="3"/>
        <v>2850010.2354568439</v>
      </c>
      <c r="I10" s="90">
        <f t="shared" si="3"/>
        <v>2493758.956024738</v>
      </c>
      <c r="J10" s="90">
        <f t="shared" si="3"/>
        <v>2137507.6765926322</v>
      </c>
      <c r="K10" s="90">
        <f t="shared" si="3"/>
        <v>1781256.3971605266</v>
      </c>
      <c r="L10" s="90">
        <f t="shared" si="3"/>
        <v>1425005.117728421</v>
      </c>
    </row>
    <row r="11" spans="1:12" ht="16">
      <c r="A11" s="52" t="s">
        <v>119</v>
      </c>
      <c r="B11" s="89"/>
      <c r="C11" s="90">
        <f>$C$9*$C$10</f>
        <v>0</v>
      </c>
      <c r="D11" s="90">
        <f>$C$9*$C$10</f>
        <v>0</v>
      </c>
      <c r="E11" s="90">
        <f>$C$9*$C$10</f>
        <v>0</v>
      </c>
      <c r="F11" s="90">
        <f>F10*$C$9</f>
        <v>356251.2794321056</v>
      </c>
      <c r="G11" s="90">
        <f>F11</f>
        <v>356251.2794321056</v>
      </c>
      <c r="H11" s="90">
        <f>G11</f>
        <v>356251.2794321056</v>
      </c>
      <c r="I11" s="90">
        <f>H11</f>
        <v>356251.2794321056</v>
      </c>
      <c r="J11" s="90">
        <f>I11</f>
        <v>356251.2794321056</v>
      </c>
      <c r="K11" s="90">
        <f t="shared" ref="K11:L11" si="4">J11</f>
        <v>356251.2794321056</v>
      </c>
      <c r="L11" s="90">
        <f t="shared" si="4"/>
        <v>356251.2794321056</v>
      </c>
    </row>
    <row r="12" spans="1:12" ht="16">
      <c r="A12" s="52" t="s">
        <v>120</v>
      </c>
      <c r="B12" s="89"/>
      <c r="C12" s="90">
        <f>C10-C11</f>
        <v>0</v>
      </c>
      <c r="D12" s="90">
        <f>D10-D11</f>
        <v>0</v>
      </c>
      <c r="E12" s="90">
        <f t="shared" ref="E12:L12" si="5">E10-E11</f>
        <v>0</v>
      </c>
      <c r="F12" s="90">
        <f t="shared" si="5"/>
        <v>3206261.5148889497</v>
      </c>
      <c r="G12" s="90">
        <f t="shared" si="5"/>
        <v>2850010.2354568439</v>
      </c>
      <c r="H12" s="90">
        <f t="shared" si="5"/>
        <v>2493758.956024738</v>
      </c>
      <c r="I12" s="90">
        <f t="shared" si="5"/>
        <v>2137507.6765926322</v>
      </c>
      <c r="J12" s="90">
        <f t="shared" si="5"/>
        <v>1781256.3971605266</v>
      </c>
      <c r="K12" s="90">
        <f t="shared" si="5"/>
        <v>1425005.117728421</v>
      </c>
      <c r="L12" s="90">
        <f t="shared" si="5"/>
        <v>1068753.8382963154</v>
      </c>
    </row>
    <row r="13" spans="1:12" ht="16">
      <c r="A13" s="91" t="s">
        <v>574</v>
      </c>
      <c r="B13" s="92"/>
      <c r="C13" s="93">
        <f>AVERAGE(C6,C8)+AVERAGE(C10,C12)</f>
        <v>0</v>
      </c>
      <c r="D13" s="93">
        <f t="shared" ref="D13:L13" si="6">AVERAGE(D6,D8)+AVERAGE(D10,D12)</f>
        <v>0</v>
      </c>
      <c r="E13" s="93">
        <f t="shared" si="6"/>
        <v>0</v>
      </c>
      <c r="F13" s="93">
        <f>AVERAGE(F6,F8)+AVERAGE(F10,F12)</f>
        <v>5838211.3382869475</v>
      </c>
      <c r="G13" s="93">
        <f t="shared" si="6"/>
        <v>5398779.5780520644</v>
      </c>
      <c r="H13" s="93">
        <f t="shared" si="6"/>
        <v>4959347.8178171795</v>
      </c>
      <c r="I13" s="93">
        <f t="shared" si="6"/>
        <v>4519916.0575822964</v>
      </c>
      <c r="J13" s="93">
        <f t="shared" si="6"/>
        <v>4080484.2973474129</v>
      </c>
      <c r="K13" s="93">
        <f t="shared" si="6"/>
        <v>3641052.5371125303</v>
      </c>
      <c r="L13" s="93">
        <f t="shared" si="6"/>
        <v>3201620.7768776463</v>
      </c>
    </row>
    <row r="14" spans="1:12" ht="18" customHeight="1">
      <c r="A14" s="376" t="s">
        <v>121</v>
      </c>
      <c r="B14" s="376"/>
      <c r="C14" s="376"/>
      <c r="D14" s="377">
        <f>D7+D11</f>
        <v>0</v>
      </c>
      <c r="E14" s="377">
        <f t="shared" ref="E14:L14" si="7">E7+E11</f>
        <v>0</v>
      </c>
      <c r="F14" s="377">
        <f t="shared" si="7"/>
        <v>439431.7602348834</v>
      </c>
      <c r="G14" s="377">
        <f t="shared" si="7"/>
        <v>439431.7602348834</v>
      </c>
      <c r="H14" s="377">
        <f t="shared" si="7"/>
        <v>439431.7602348834</v>
      </c>
      <c r="I14" s="377">
        <f t="shared" si="7"/>
        <v>439431.7602348834</v>
      </c>
      <c r="J14" s="377">
        <f t="shared" si="7"/>
        <v>439431.7602348834</v>
      </c>
      <c r="K14" s="377">
        <f t="shared" si="7"/>
        <v>439431.7602348834</v>
      </c>
      <c r="L14" s="377">
        <f t="shared" si="7"/>
        <v>439431.7602348834</v>
      </c>
    </row>
    <row r="15" spans="1:12" ht="16">
      <c r="A15" s="1" t="s">
        <v>620</v>
      </c>
      <c r="F15" s="29">
        <f>F13*'20_Tax'!$C$7</f>
        <v>0</v>
      </c>
      <c r="G15" s="29">
        <f>G13*'20_Tax'!$C$7</f>
        <v>0</v>
      </c>
      <c r="H15" s="29">
        <f>H13*'20_Tax'!$C$7</f>
        <v>0</v>
      </c>
      <c r="I15" s="29">
        <f>I13*'20_Tax'!$C$7</f>
        <v>0</v>
      </c>
      <c r="J15" s="29">
        <f>J13*'20_Tax'!$C$7</f>
        <v>0</v>
      </c>
      <c r="K15" s="29">
        <f>K13*'20_Tax'!$C$7</f>
        <v>0</v>
      </c>
      <c r="L15" s="29">
        <f>L13*'20_Tax'!$C$7</f>
        <v>0</v>
      </c>
    </row>
    <row r="16" spans="1:12">
      <c r="A16" s="857" t="s">
        <v>581</v>
      </c>
      <c r="B16" s="857"/>
      <c r="C16" s="857"/>
      <c r="D16" s="857"/>
      <c r="E16" s="857"/>
      <c r="F16" s="857"/>
      <c r="G16" s="857"/>
      <c r="H16" s="857"/>
    </row>
    <row r="17" spans="1:12" ht="48">
      <c r="A17" s="30"/>
      <c r="B17" s="63" t="s">
        <v>573</v>
      </c>
      <c r="C17" s="375">
        <f>C3</f>
        <v>2024</v>
      </c>
      <c r="D17" s="375">
        <f t="shared" ref="D17:L17" si="8">D3</f>
        <v>2025</v>
      </c>
      <c r="E17" s="375">
        <f t="shared" si="8"/>
        <v>2026</v>
      </c>
      <c r="F17" s="375">
        <f t="shared" si="8"/>
        <v>2027</v>
      </c>
      <c r="G17" s="375">
        <f t="shared" si="8"/>
        <v>2028</v>
      </c>
      <c r="H17" s="375">
        <f t="shared" si="8"/>
        <v>2029</v>
      </c>
      <c r="I17" s="375">
        <f t="shared" si="8"/>
        <v>2030</v>
      </c>
      <c r="J17" s="375">
        <f t="shared" si="8"/>
        <v>2031</v>
      </c>
      <c r="K17" s="375">
        <f t="shared" si="8"/>
        <v>2032</v>
      </c>
      <c r="L17" s="375">
        <f t="shared" si="8"/>
        <v>2033</v>
      </c>
    </row>
    <row r="18" spans="1:12">
      <c r="A18" s="30"/>
      <c r="B18" s="63"/>
      <c r="C18" s="63">
        <v>1</v>
      </c>
      <c r="D18" s="63">
        <v>2</v>
      </c>
      <c r="E18" s="63">
        <v>3</v>
      </c>
      <c r="F18" s="63">
        <v>4</v>
      </c>
      <c r="G18" s="63">
        <v>5</v>
      </c>
      <c r="H18" s="63">
        <v>6</v>
      </c>
      <c r="I18" s="63">
        <v>7</v>
      </c>
      <c r="J18" s="63">
        <v>8</v>
      </c>
      <c r="K18" s="63">
        <v>9</v>
      </c>
      <c r="L18" s="63">
        <v>10</v>
      </c>
    </row>
    <row r="19" spans="1:12" ht="16">
      <c r="A19" s="86" t="s">
        <v>117</v>
      </c>
      <c r="B19" s="87">
        <v>30</v>
      </c>
      <c r="C19" s="88">
        <f>1/B19</f>
        <v>3.3333333333333333E-2</v>
      </c>
      <c r="D19" s="52"/>
      <c r="E19" s="52"/>
      <c r="F19" s="52"/>
      <c r="G19" s="52"/>
      <c r="H19" s="52"/>
      <c r="I19" s="52"/>
      <c r="J19" s="52"/>
      <c r="K19" s="52"/>
      <c r="L19" s="52"/>
    </row>
    <row r="20" spans="1:12" ht="16">
      <c r="A20" s="52" t="s">
        <v>118</v>
      </c>
      <c r="B20" s="89"/>
      <c r="C20" s="90">
        <v>0</v>
      </c>
      <c r="D20" s="90">
        <f>C20</f>
        <v>0</v>
      </c>
      <c r="E20" s="90">
        <f>D22</f>
        <v>0</v>
      </c>
      <c r="F20" s="90">
        <f>F6</f>
        <v>2495414.4240833335</v>
      </c>
      <c r="G20" s="90">
        <f t="shared" ref="G20:L20" si="9">F22</f>
        <v>2412233.9432805558</v>
      </c>
      <c r="H20" s="90">
        <f t="shared" si="9"/>
        <v>2329053.4624777781</v>
      </c>
      <c r="I20" s="90">
        <f t="shared" si="9"/>
        <v>2245872.9816750004</v>
      </c>
      <c r="J20" s="90">
        <f t="shared" si="9"/>
        <v>2162692.5008722227</v>
      </c>
      <c r="K20" s="90">
        <f t="shared" si="9"/>
        <v>2079512.020069445</v>
      </c>
      <c r="L20" s="90">
        <f t="shared" si="9"/>
        <v>1996331.5392666673</v>
      </c>
    </row>
    <row r="21" spans="1:12" ht="16">
      <c r="A21" s="52" t="s">
        <v>119</v>
      </c>
      <c r="B21" s="89"/>
      <c r="C21" s="90">
        <f>C19*C20</f>
        <v>0</v>
      </c>
      <c r="D21" s="90">
        <f>C19*D20</f>
        <v>0</v>
      </c>
      <c r="E21" s="90">
        <f>$C$5*D20</f>
        <v>0</v>
      </c>
      <c r="F21" s="90">
        <f>F20*$C$19</f>
        <v>83180.480802777776</v>
      </c>
      <c r="G21" s="90">
        <f t="shared" ref="G21:L21" si="10">F21</f>
        <v>83180.480802777776</v>
      </c>
      <c r="H21" s="90">
        <f t="shared" si="10"/>
        <v>83180.480802777776</v>
      </c>
      <c r="I21" s="90">
        <f t="shared" si="10"/>
        <v>83180.480802777776</v>
      </c>
      <c r="J21" s="90">
        <f t="shared" si="10"/>
        <v>83180.480802777776</v>
      </c>
      <c r="K21" s="90">
        <f t="shared" si="10"/>
        <v>83180.480802777776</v>
      </c>
      <c r="L21" s="90">
        <f t="shared" si="10"/>
        <v>83180.480802777776</v>
      </c>
    </row>
    <row r="22" spans="1:12" ht="16">
      <c r="A22" s="52" t="s">
        <v>120</v>
      </c>
      <c r="B22" s="89"/>
      <c r="C22" s="90">
        <f>C20-C21</f>
        <v>0</v>
      </c>
      <c r="D22" s="90">
        <f>D20-D21</f>
        <v>0</v>
      </c>
      <c r="E22" s="90">
        <f>E20-E21</f>
        <v>0</v>
      </c>
      <c r="F22" s="90">
        <f>F20-F21</f>
        <v>2412233.9432805558</v>
      </c>
      <c r="G22" s="90">
        <f t="shared" ref="G22:L22" si="11">G20-G21</f>
        <v>2329053.4624777781</v>
      </c>
      <c r="H22" s="90">
        <f t="shared" si="11"/>
        <v>2245872.9816750004</v>
      </c>
      <c r="I22" s="90">
        <f t="shared" si="11"/>
        <v>2162692.5008722227</v>
      </c>
      <c r="J22" s="90">
        <f t="shared" si="11"/>
        <v>2079512.020069445</v>
      </c>
      <c r="K22" s="90">
        <f t="shared" si="11"/>
        <v>1996331.5392666673</v>
      </c>
      <c r="L22" s="90">
        <f t="shared" si="11"/>
        <v>1913151.0584638896</v>
      </c>
    </row>
    <row r="23" spans="1:12" ht="16">
      <c r="A23" s="86" t="s">
        <v>44</v>
      </c>
      <c r="B23" s="87">
        <v>10</v>
      </c>
      <c r="C23" s="88">
        <f>1/B23</f>
        <v>0.1</v>
      </c>
      <c r="D23" s="52"/>
      <c r="E23" s="52"/>
      <c r="F23" s="52"/>
      <c r="G23" s="52"/>
      <c r="H23" s="52"/>
      <c r="I23" s="52"/>
      <c r="J23" s="52"/>
      <c r="K23" s="52"/>
      <c r="L23" s="52"/>
    </row>
    <row r="24" spans="1:12" ht="16">
      <c r="A24" s="52" t="s">
        <v>118</v>
      </c>
      <c r="B24" s="89"/>
      <c r="C24" s="90">
        <v>0</v>
      </c>
      <c r="D24" s="90">
        <f>C26</f>
        <v>0</v>
      </c>
      <c r="E24" s="90">
        <f>D26</f>
        <v>0</v>
      </c>
      <c r="F24" s="90">
        <f>F10</f>
        <v>3562512.7943210555</v>
      </c>
      <c r="G24" s="90">
        <f t="shared" ref="G24:L24" si="12">F26</f>
        <v>3206261.5148889497</v>
      </c>
      <c r="H24" s="90">
        <f t="shared" si="12"/>
        <v>2850010.2354568439</v>
      </c>
      <c r="I24" s="90">
        <f t="shared" si="12"/>
        <v>2493758.956024738</v>
      </c>
      <c r="J24" s="90">
        <f t="shared" si="12"/>
        <v>2137507.6765926322</v>
      </c>
      <c r="K24" s="90">
        <f t="shared" si="12"/>
        <v>1781256.3971605266</v>
      </c>
      <c r="L24" s="90">
        <f t="shared" si="12"/>
        <v>1425005.117728421</v>
      </c>
    </row>
    <row r="25" spans="1:12" ht="16">
      <c r="A25" s="52" t="s">
        <v>119</v>
      </c>
      <c r="B25" s="89"/>
      <c r="C25" s="90">
        <f>$C$9*$C$10</f>
        <v>0</v>
      </c>
      <c r="D25" s="90">
        <f>$C$9*$C$10</f>
        <v>0</v>
      </c>
      <c r="E25" s="90">
        <f>$C$9*$C$10</f>
        <v>0</v>
      </c>
      <c r="F25" s="90">
        <f>F24*$C$23</f>
        <v>356251.2794321056</v>
      </c>
      <c r="G25" s="90">
        <f>F25</f>
        <v>356251.2794321056</v>
      </c>
      <c r="H25" s="90">
        <f>G25</f>
        <v>356251.2794321056</v>
      </c>
      <c r="I25" s="90">
        <f>H25</f>
        <v>356251.2794321056</v>
      </c>
      <c r="J25" s="90">
        <f>I25</f>
        <v>356251.2794321056</v>
      </c>
      <c r="K25" s="90">
        <f t="shared" ref="K25:L25" si="13">J25</f>
        <v>356251.2794321056</v>
      </c>
      <c r="L25" s="90">
        <f t="shared" si="13"/>
        <v>356251.2794321056</v>
      </c>
    </row>
    <row r="26" spans="1:12" ht="16">
      <c r="A26" s="52" t="s">
        <v>120</v>
      </c>
      <c r="B26" s="89"/>
      <c r="C26" s="90">
        <f>C24-C25</f>
        <v>0</v>
      </c>
      <c r="D26" s="90">
        <f>D24-D25</f>
        <v>0</v>
      </c>
      <c r="E26" s="90">
        <f t="shared" ref="E26:L26" si="14">E24-E25</f>
        <v>0</v>
      </c>
      <c r="F26" s="90">
        <f t="shared" si="14"/>
        <v>3206261.5148889497</v>
      </c>
      <c r="G26" s="90">
        <f t="shared" si="14"/>
        <v>2850010.2354568439</v>
      </c>
      <c r="H26" s="90">
        <f t="shared" si="14"/>
        <v>2493758.956024738</v>
      </c>
      <c r="I26" s="90">
        <f t="shared" si="14"/>
        <v>2137507.6765926322</v>
      </c>
      <c r="J26" s="90">
        <f t="shared" si="14"/>
        <v>1781256.3971605266</v>
      </c>
      <c r="K26" s="90">
        <f t="shared" si="14"/>
        <v>1425005.117728421</v>
      </c>
      <c r="L26" s="90">
        <f t="shared" si="14"/>
        <v>1068753.8382963154</v>
      </c>
    </row>
    <row r="27" spans="1:12" ht="16">
      <c r="A27" s="91" t="s">
        <v>574</v>
      </c>
      <c r="B27" s="92"/>
      <c r="C27" s="93">
        <f>AVERAGE(C20,C22)+AVERAGE(C24,C26)</f>
        <v>0</v>
      </c>
      <c r="D27" s="93">
        <f>AVERAGE(D20,D22)+AVERAGE(D24,D26)</f>
        <v>0</v>
      </c>
      <c r="E27" s="93">
        <f>AVERAGE(E20,E22)+AVERAGE(E24,E26)</f>
        <v>0</v>
      </c>
      <c r="F27" s="93">
        <f>AVERAGE(F20,F22)+AVERAGE(F24,F26)</f>
        <v>5838211.3382869475</v>
      </c>
      <c r="G27" s="93">
        <f t="shared" ref="G27:L27" si="15">AVERAGE(G20,G22)+AVERAGE(G24,G26)</f>
        <v>5398779.5780520644</v>
      </c>
      <c r="H27" s="93">
        <f t="shared" si="15"/>
        <v>4959347.8178171795</v>
      </c>
      <c r="I27" s="93">
        <f t="shared" si="15"/>
        <v>4519916.0575822964</v>
      </c>
      <c r="J27" s="93">
        <f t="shared" si="15"/>
        <v>4080484.2973474129</v>
      </c>
      <c r="K27" s="93">
        <f t="shared" si="15"/>
        <v>3641052.5371125303</v>
      </c>
      <c r="L27" s="93">
        <f t="shared" si="15"/>
        <v>3201620.7768776463</v>
      </c>
    </row>
    <row r="28" spans="1:12" ht="17">
      <c r="A28" s="376" t="s">
        <v>121</v>
      </c>
      <c r="B28" s="376"/>
      <c r="C28" s="376"/>
      <c r="D28" s="377">
        <f>D21+D25</f>
        <v>0</v>
      </c>
      <c r="E28" s="377">
        <f t="shared" ref="E28:L28" si="16">E21+E25</f>
        <v>0</v>
      </c>
      <c r="F28" s="377">
        <f t="shared" si="16"/>
        <v>439431.7602348834</v>
      </c>
      <c r="G28" s="377">
        <f t="shared" si="16"/>
        <v>439431.7602348834</v>
      </c>
      <c r="H28" s="377">
        <f t="shared" si="16"/>
        <v>439431.7602348834</v>
      </c>
      <c r="I28" s="377">
        <f t="shared" si="16"/>
        <v>439431.7602348834</v>
      </c>
      <c r="J28" s="377">
        <f t="shared" si="16"/>
        <v>439431.7602348834</v>
      </c>
      <c r="K28" s="377">
        <f t="shared" si="16"/>
        <v>439431.7602348834</v>
      </c>
      <c r="L28" s="377">
        <f t="shared" si="16"/>
        <v>439431.7602348834</v>
      </c>
    </row>
  </sheetData>
  <mergeCells count="3">
    <mergeCell ref="A2:H2"/>
    <mergeCell ref="A16:H16"/>
    <mergeCell ref="A1:J1"/>
  </mergeCells>
  <pageMargins left="0.7" right="0.7" top="0.75" bottom="0.75" header="0.3" footer="0.3"/>
  <pageSetup paperSize="9" orientation="landscape" horizontalDpi="0" verticalDpi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FE8ED-EA2B-AB49-838B-8992DFC8D1C0}">
  <sheetPr>
    <pageSetUpPr fitToPage="1"/>
  </sheetPr>
  <dimension ref="A1:F28"/>
  <sheetViews>
    <sheetView zoomScale="110" zoomScaleNormal="110" zoomScalePageLayoutView="120" workbookViewId="0">
      <selection activeCell="D48" sqref="D48"/>
    </sheetView>
  </sheetViews>
  <sheetFormatPr baseColWidth="10" defaultColWidth="8.83203125" defaultRowHeight="15"/>
  <cols>
    <col min="1" max="1" width="4.83203125" customWidth="1"/>
    <col min="2" max="2" width="38.1640625" customWidth="1"/>
    <col min="3" max="3" width="18.83203125" customWidth="1"/>
    <col min="4" max="4" width="21.83203125" bestFit="1" customWidth="1"/>
    <col min="5" max="5" width="18.83203125" bestFit="1" customWidth="1"/>
  </cols>
  <sheetData>
    <row r="1" spans="1:5" ht="26.25" customHeight="1">
      <c r="A1" s="813" t="s">
        <v>419</v>
      </c>
      <c r="B1" s="813"/>
      <c r="C1" s="813"/>
      <c r="D1" s="813"/>
      <c r="E1" s="3" t="s">
        <v>1226</v>
      </c>
    </row>
    <row r="2" spans="1:5" ht="32">
      <c r="A2" s="57" t="s">
        <v>18</v>
      </c>
      <c r="B2" s="58" t="s">
        <v>58</v>
      </c>
      <c r="C2" s="57" t="s">
        <v>420</v>
      </c>
      <c r="D2" s="57" t="s">
        <v>42</v>
      </c>
      <c r="E2" s="57" t="s">
        <v>421</v>
      </c>
    </row>
    <row r="3" spans="1:5" ht="16">
      <c r="A3" s="248">
        <v>1</v>
      </c>
      <c r="B3" s="135" t="s">
        <v>839</v>
      </c>
      <c r="C3" s="560">
        <v>22</v>
      </c>
      <c r="D3" s="2" t="s">
        <v>840</v>
      </c>
      <c r="E3" s="30" t="s">
        <v>422</v>
      </c>
    </row>
    <row r="4" spans="1:5" ht="16">
      <c r="A4" s="248">
        <f>A3+1</f>
        <v>2</v>
      </c>
      <c r="B4" s="135" t="s">
        <v>841</v>
      </c>
      <c r="C4" s="560">
        <v>0.75</v>
      </c>
      <c r="D4" s="2" t="s">
        <v>843</v>
      </c>
      <c r="E4" s="30" t="s">
        <v>422</v>
      </c>
    </row>
    <row r="5" spans="1:5" ht="16">
      <c r="A5" s="248">
        <f t="shared" ref="A5:A24" si="0">A4+1</f>
        <v>3</v>
      </c>
      <c r="B5" s="135" t="s">
        <v>836</v>
      </c>
      <c r="C5" s="560">
        <v>90</v>
      </c>
      <c r="D5" s="2" t="s">
        <v>837</v>
      </c>
      <c r="E5" s="30" t="s">
        <v>422</v>
      </c>
    </row>
    <row r="6" spans="1:5" ht="16">
      <c r="A6" s="248">
        <f t="shared" si="0"/>
        <v>4</v>
      </c>
      <c r="B6" s="249" t="s">
        <v>799</v>
      </c>
      <c r="C6" s="250">
        <f>1050*C27/8000</f>
        <v>2625</v>
      </c>
      <c r="D6" s="227" t="s">
        <v>804</v>
      </c>
      <c r="E6" s="30" t="s">
        <v>422</v>
      </c>
    </row>
    <row r="7" spans="1:5" ht="16">
      <c r="A7" s="248">
        <f t="shared" si="0"/>
        <v>5</v>
      </c>
      <c r="B7" s="251" t="s">
        <v>844</v>
      </c>
      <c r="C7" s="252">
        <f>'5-1_ЛК'!G10</f>
        <v>70</v>
      </c>
      <c r="D7" s="250" t="s">
        <v>895</v>
      </c>
      <c r="E7" s="30" t="s">
        <v>422</v>
      </c>
    </row>
    <row r="8" spans="1:5" ht="16">
      <c r="A8" s="248">
        <f t="shared" si="0"/>
        <v>6</v>
      </c>
      <c r="B8" s="251" t="str">
        <f>'5_Оборуд'!B5</f>
        <v>Сушка и упаковка побочных продуктов</v>
      </c>
      <c r="C8" s="252">
        <f>'5-2_ЦГ'!G12</f>
        <v>321.5</v>
      </c>
      <c r="D8" s="250" t="s">
        <v>895</v>
      </c>
      <c r="E8" s="30" t="s">
        <v>422</v>
      </c>
    </row>
    <row r="9" spans="1:5" ht="16">
      <c r="A9" s="248">
        <f t="shared" si="0"/>
        <v>7</v>
      </c>
      <c r="B9" s="251" t="s">
        <v>802</v>
      </c>
      <c r="C9" s="250">
        <v>317</v>
      </c>
      <c r="D9" s="250" t="s">
        <v>423</v>
      </c>
      <c r="E9" s="30" t="s">
        <v>422</v>
      </c>
    </row>
    <row r="10" spans="1:5" ht="16">
      <c r="A10" s="248">
        <f t="shared" si="0"/>
        <v>8</v>
      </c>
      <c r="B10" s="251" t="s">
        <v>424</v>
      </c>
      <c r="C10" s="250">
        <f>'23-1_Град'!G7</f>
        <v>717.26666666666665</v>
      </c>
      <c r="D10" s="250" t="s">
        <v>895</v>
      </c>
      <c r="E10" s="30" t="s">
        <v>422</v>
      </c>
    </row>
    <row r="11" spans="1:5" ht="16">
      <c r="A11" s="248">
        <f t="shared" si="0"/>
        <v>9</v>
      </c>
      <c r="B11" s="251" t="s">
        <v>425</v>
      </c>
      <c r="C11" s="252">
        <f>'23-2_Комп-р'!I5</f>
        <v>1460</v>
      </c>
      <c r="D11" s="250" t="s">
        <v>955</v>
      </c>
      <c r="E11" s="30" t="s">
        <v>422</v>
      </c>
    </row>
    <row r="12" spans="1:5" ht="16">
      <c r="A12" s="248">
        <f t="shared" si="0"/>
        <v>10</v>
      </c>
      <c r="B12" s="135" t="s">
        <v>869</v>
      </c>
      <c r="C12" s="560">
        <v>250</v>
      </c>
      <c r="D12" s="561" t="s">
        <v>423</v>
      </c>
      <c r="E12" s="2"/>
    </row>
    <row r="13" spans="1:5" ht="16">
      <c r="A13" s="248">
        <f t="shared" si="0"/>
        <v>11</v>
      </c>
      <c r="B13" s="690" t="s">
        <v>1096</v>
      </c>
      <c r="C13" s="689" t="s">
        <v>1240</v>
      </c>
      <c r="D13" s="689" t="s">
        <v>1097</v>
      </c>
      <c r="E13" s="691"/>
    </row>
    <row r="14" spans="1:5" ht="16">
      <c r="A14" s="248">
        <f t="shared" si="0"/>
        <v>12</v>
      </c>
      <c r="B14" s="579" t="s">
        <v>351</v>
      </c>
      <c r="C14" s="561">
        <v>70</v>
      </c>
      <c r="D14" s="561" t="s">
        <v>423</v>
      </c>
      <c r="E14" s="578" t="s">
        <v>422</v>
      </c>
    </row>
    <row r="15" spans="1:5" ht="16">
      <c r="A15" s="248">
        <f t="shared" si="0"/>
        <v>13</v>
      </c>
      <c r="B15" s="135" t="s">
        <v>61</v>
      </c>
      <c r="C15" s="640">
        <v>60</v>
      </c>
      <c r="D15" s="561" t="s">
        <v>993</v>
      </c>
      <c r="E15" s="578" t="s">
        <v>422</v>
      </c>
    </row>
    <row r="16" spans="1:5">
      <c r="A16" s="248">
        <f t="shared" si="0"/>
        <v>14</v>
      </c>
      <c r="B16" s="577" t="s">
        <v>870</v>
      </c>
      <c r="C16" s="640">
        <v>150</v>
      </c>
      <c r="D16" s="640" t="s">
        <v>423</v>
      </c>
      <c r="E16" s="577"/>
    </row>
    <row r="17" spans="1:6" ht="16">
      <c r="A17" s="248">
        <f t="shared" si="0"/>
        <v>15</v>
      </c>
      <c r="B17" s="251" t="s">
        <v>426</v>
      </c>
      <c r="C17" s="252">
        <v>320</v>
      </c>
      <c r="D17" s="250" t="s">
        <v>373</v>
      </c>
      <c r="E17" s="30" t="s">
        <v>422</v>
      </c>
    </row>
    <row r="18" spans="1:6" ht="16">
      <c r="A18" s="248">
        <f t="shared" si="0"/>
        <v>16</v>
      </c>
      <c r="B18" s="251" t="s">
        <v>217</v>
      </c>
      <c r="C18" s="253">
        <v>94.5</v>
      </c>
      <c r="D18" s="250" t="s">
        <v>373</v>
      </c>
      <c r="E18" s="30" t="s">
        <v>422</v>
      </c>
    </row>
    <row r="19" spans="1:6" ht="16">
      <c r="A19" s="248">
        <f t="shared" si="0"/>
        <v>17</v>
      </c>
      <c r="B19" s="251" t="s">
        <v>427</v>
      </c>
      <c r="C19" s="252">
        <v>50</v>
      </c>
      <c r="D19" s="250" t="s">
        <v>373</v>
      </c>
      <c r="E19" s="30" t="s">
        <v>422</v>
      </c>
    </row>
    <row r="20" spans="1:6" ht="16">
      <c r="A20" s="248">
        <f t="shared" si="0"/>
        <v>18</v>
      </c>
      <c r="B20" s="251" t="s">
        <v>339</v>
      </c>
      <c r="C20" s="252">
        <v>81</v>
      </c>
      <c r="D20" s="250" t="s">
        <v>373</v>
      </c>
      <c r="E20" s="30" t="s">
        <v>422</v>
      </c>
    </row>
    <row r="21" spans="1:6" ht="16">
      <c r="A21" s="248">
        <f t="shared" si="0"/>
        <v>19</v>
      </c>
      <c r="B21" s="251" t="s">
        <v>274</v>
      </c>
      <c r="C21" s="252">
        <v>55</v>
      </c>
      <c r="D21" s="250" t="s">
        <v>373</v>
      </c>
      <c r="E21" s="30" t="s">
        <v>422</v>
      </c>
    </row>
    <row r="22" spans="1:6" ht="16">
      <c r="A22" s="248">
        <f t="shared" si="0"/>
        <v>20</v>
      </c>
      <c r="B22" s="251" t="s">
        <v>337</v>
      </c>
      <c r="C22" s="252">
        <v>15</v>
      </c>
      <c r="D22" s="250" t="s">
        <v>373</v>
      </c>
      <c r="E22" s="30" t="s">
        <v>422</v>
      </c>
    </row>
    <row r="23" spans="1:6" ht="16">
      <c r="A23" s="248">
        <f t="shared" si="0"/>
        <v>21</v>
      </c>
      <c r="B23" s="251" t="s">
        <v>322</v>
      </c>
      <c r="C23" s="252">
        <v>7</v>
      </c>
      <c r="D23" s="250" t="s">
        <v>373</v>
      </c>
      <c r="E23" s="30" t="s">
        <v>422</v>
      </c>
    </row>
    <row r="24" spans="1:6" ht="36" customHeight="1">
      <c r="A24" s="248">
        <f t="shared" si="0"/>
        <v>22</v>
      </c>
      <c r="B24" s="251" t="s">
        <v>428</v>
      </c>
      <c r="C24" s="252">
        <f>F24*SUM(C6:C23)</f>
        <v>333.16333333333336</v>
      </c>
      <c r="D24" s="254" t="s">
        <v>429</v>
      </c>
      <c r="E24" s="30" t="s">
        <v>422</v>
      </c>
      <c r="F24" s="580">
        <v>0.05</v>
      </c>
    </row>
    <row r="25" spans="1:6" ht="16">
      <c r="A25" s="255"/>
      <c r="B25" s="101" t="s">
        <v>430</v>
      </c>
      <c r="C25" s="102">
        <f>SUM(C3:C24)</f>
        <v>7109.1799999999994</v>
      </c>
      <c r="D25" s="216" t="s">
        <v>287</v>
      </c>
      <c r="E25" s="216"/>
    </row>
    <row r="26" spans="1:6" ht="16">
      <c r="B26" s="702" t="s">
        <v>1131</v>
      </c>
      <c r="C26" s="102">
        <f>C25*C28</f>
        <v>56304705.599999994</v>
      </c>
    </row>
    <row r="27" spans="1:6" ht="27" customHeight="1">
      <c r="A27" s="703"/>
      <c r="B27" s="704" t="s">
        <v>803</v>
      </c>
      <c r="C27" s="705">
        <f>'6_МБ_ЛК_Ку-за'!C11</f>
        <v>20000</v>
      </c>
      <c r="D27" s="3"/>
    </row>
    <row r="28" spans="1:6" ht="21" customHeight="1">
      <c r="A28" s="706"/>
      <c r="B28" s="707" t="s">
        <v>933</v>
      </c>
      <c r="C28" s="708">
        <f>'0_Допущения'!C9</f>
        <v>7920</v>
      </c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DA111-6226-2A4A-9FCB-ADF56B0D8CD9}">
  <dimension ref="A1:G7"/>
  <sheetViews>
    <sheetView zoomScale="120" zoomScaleNormal="120" workbookViewId="0">
      <selection activeCell="H21" sqref="H21"/>
    </sheetView>
  </sheetViews>
  <sheetFormatPr baseColWidth="10" defaultColWidth="8.83203125" defaultRowHeight="15"/>
  <cols>
    <col min="1" max="1" width="4.1640625" style="3" bestFit="1" customWidth="1"/>
    <col min="2" max="2" width="14.83203125" style="3" bestFit="1" customWidth="1"/>
    <col min="3" max="3" width="7.33203125" style="3" bestFit="1" customWidth="1"/>
    <col min="4" max="4" width="13.33203125" style="3" customWidth="1"/>
    <col min="5" max="5" width="15.5" style="3" bestFit="1" customWidth="1"/>
    <col min="6" max="6" width="15.5" style="3" customWidth="1"/>
    <col min="7" max="7" width="15.33203125" style="3" bestFit="1" customWidth="1"/>
    <col min="8" max="16384" width="8.83203125" style="3"/>
  </cols>
  <sheetData>
    <row r="1" spans="1:7" ht="28" customHeight="1">
      <c r="A1" s="796" t="s">
        <v>930</v>
      </c>
      <c r="B1" s="796"/>
      <c r="C1" s="796"/>
      <c r="D1" s="796"/>
      <c r="E1" s="796"/>
      <c r="F1" s="796"/>
      <c r="G1" s="3" t="s">
        <v>1227</v>
      </c>
    </row>
    <row r="2" spans="1:7" ht="16">
      <c r="A2" s="858" t="s">
        <v>18</v>
      </c>
      <c r="B2" s="859" t="s">
        <v>44</v>
      </c>
      <c r="C2" s="467" t="s">
        <v>57</v>
      </c>
      <c r="D2" s="860" t="s">
        <v>922</v>
      </c>
      <c r="E2" s="861"/>
      <c r="F2" s="861"/>
      <c r="G2" s="862"/>
    </row>
    <row r="3" spans="1:7" ht="32">
      <c r="A3" s="858"/>
      <c r="B3" s="859"/>
      <c r="C3" s="467" t="s">
        <v>59</v>
      </c>
      <c r="D3" s="467" t="s">
        <v>923</v>
      </c>
      <c r="E3" s="467" t="s">
        <v>924</v>
      </c>
      <c r="F3" s="467" t="s">
        <v>928</v>
      </c>
      <c r="G3" s="467" t="s">
        <v>929</v>
      </c>
    </row>
    <row r="4" spans="1:7" ht="32">
      <c r="A4" s="30">
        <v>1</v>
      </c>
      <c r="B4" s="31" t="s">
        <v>925</v>
      </c>
      <c r="C4" s="30">
        <v>2</v>
      </c>
      <c r="D4" s="32">
        <v>90</v>
      </c>
      <c r="E4" s="32">
        <f>C4*D4</f>
        <v>180</v>
      </c>
      <c r="F4" s="49">
        <v>0.53</v>
      </c>
      <c r="G4" s="32">
        <f>F4*E4</f>
        <v>95.4</v>
      </c>
    </row>
    <row r="5" spans="1:7" ht="16">
      <c r="A5" s="30">
        <v>2</v>
      </c>
      <c r="B5" s="31" t="s">
        <v>926</v>
      </c>
      <c r="C5" s="30">
        <v>4</v>
      </c>
      <c r="D5" s="32">
        <v>160</v>
      </c>
      <c r="E5" s="32">
        <f>C5*D5</f>
        <v>640</v>
      </c>
      <c r="F5" s="414">
        <v>0.9</v>
      </c>
      <c r="G5" s="32">
        <f>E5*F5</f>
        <v>576</v>
      </c>
    </row>
    <row r="6" spans="1:7" ht="16">
      <c r="A6" s="30">
        <v>3</v>
      </c>
      <c r="B6" s="31" t="s">
        <v>927</v>
      </c>
      <c r="C6" s="30">
        <v>1</v>
      </c>
      <c r="D6" s="32">
        <f>(80+40+5+5+1+5+6+15+5+10)/3</f>
        <v>57.333333333333336</v>
      </c>
      <c r="E6" s="32">
        <f>C6*D6</f>
        <v>57.333333333333336</v>
      </c>
      <c r="F6" s="414">
        <v>0.8</v>
      </c>
      <c r="G6" s="32">
        <f>E6*F6</f>
        <v>45.866666666666674</v>
      </c>
    </row>
    <row r="7" spans="1:7" ht="16">
      <c r="A7" s="216"/>
      <c r="B7" s="101" t="s">
        <v>36</v>
      </c>
      <c r="C7" s="216"/>
      <c r="D7" s="102"/>
      <c r="E7" s="102">
        <f>SUM(E4:E6)</f>
        <v>877.33333333333337</v>
      </c>
      <c r="F7" s="102"/>
      <c r="G7" s="102">
        <f>SUM(G4:G6)</f>
        <v>717.26666666666665</v>
      </c>
    </row>
  </sheetData>
  <mergeCells count="4">
    <mergeCell ref="A2:A3"/>
    <mergeCell ref="B2:B3"/>
    <mergeCell ref="D2:G2"/>
    <mergeCell ref="A1:F1"/>
  </mergeCells>
  <pageMargins left="0.7" right="0.7" top="0.75" bottom="0.75" header="0.3" footer="0.3"/>
  <pageSetup paperSize="9" orientation="landscape" horizontalDpi="0" verticalDpi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12A5F-CF92-AF49-BB76-C95BB2BE0469}">
  <dimension ref="A1:L7"/>
  <sheetViews>
    <sheetView topLeftCell="B1" zoomScale="140" zoomScaleNormal="140" zoomScalePageLayoutView="140" workbookViewId="0">
      <selection activeCell="J17" sqref="J17"/>
    </sheetView>
  </sheetViews>
  <sheetFormatPr baseColWidth="10" defaultRowHeight="15"/>
  <cols>
    <col min="1" max="1" width="3.83203125" style="3" bestFit="1" customWidth="1"/>
    <col min="2" max="2" width="13.1640625" style="3" customWidth="1"/>
    <col min="3" max="3" width="9.5" style="3" customWidth="1"/>
    <col min="4" max="4" width="13.5" style="3" bestFit="1" customWidth="1"/>
    <col min="5" max="5" width="10" style="3" bestFit="1" customWidth="1"/>
    <col min="6" max="6" width="9.33203125" style="3" bestFit="1" customWidth="1"/>
    <col min="7" max="7" width="7" style="3" customWidth="1"/>
    <col min="8" max="8" width="7.5" style="3" customWidth="1"/>
    <col min="9" max="9" width="10.83203125" style="3"/>
    <col min="10" max="10" width="11.6640625" style="3" bestFit="1" customWidth="1"/>
    <col min="11" max="11" width="10.83203125" style="3"/>
    <col min="12" max="12" width="12.83203125" style="3" customWidth="1"/>
    <col min="13" max="16384" width="10.83203125" style="3"/>
  </cols>
  <sheetData>
    <row r="1" spans="1:12" ht="20" customHeight="1">
      <c r="A1" s="785" t="s">
        <v>425</v>
      </c>
      <c r="B1" s="785"/>
      <c r="C1" s="785"/>
      <c r="D1" s="785"/>
      <c r="E1" s="785"/>
      <c r="F1" s="785"/>
      <c r="K1" s="65" t="s">
        <v>147</v>
      </c>
      <c r="L1" s="586" t="s">
        <v>1228</v>
      </c>
    </row>
    <row r="2" spans="1:12" ht="48">
      <c r="A2" s="256" t="s">
        <v>18</v>
      </c>
      <c r="B2" s="256" t="s">
        <v>431</v>
      </c>
      <c r="C2" s="256" t="s">
        <v>956</v>
      </c>
      <c r="D2" s="256" t="s">
        <v>432</v>
      </c>
      <c r="E2" s="256" t="s">
        <v>950</v>
      </c>
      <c r="F2" s="256" t="s">
        <v>951</v>
      </c>
      <c r="G2" s="256" t="s">
        <v>433</v>
      </c>
      <c r="H2" s="256" t="s">
        <v>434</v>
      </c>
      <c r="I2" s="256" t="s">
        <v>952</v>
      </c>
      <c r="J2" s="256" t="s">
        <v>435</v>
      </c>
      <c r="K2" s="256" t="s">
        <v>436</v>
      </c>
      <c r="L2" s="256" t="s">
        <v>959</v>
      </c>
    </row>
    <row r="3" spans="1:12" ht="32">
      <c r="A3" s="30">
        <v>1</v>
      </c>
      <c r="B3" s="30" t="s">
        <v>953</v>
      </c>
      <c r="C3" s="30" t="s">
        <v>957</v>
      </c>
      <c r="D3" s="30" t="s">
        <v>954</v>
      </c>
      <c r="E3" s="32">
        <v>10000</v>
      </c>
      <c r="F3" s="32">
        <v>650</v>
      </c>
      <c r="G3" s="32">
        <v>3</v>
      </c>
      <c r="H3" s="30">
        <v>2</v>
      </c>
      <c r="I3" s="32">
        <f>F3*H3</f>
        <v>1300</v>
      </c>
      <c r="J3" s="32">
        <v>75231.19</v>
      </c>
      <c r="K3" s="32">
        <f>J3*G3</f>
        <v>225693.57</v>
      </c>
      <c r="L3" s="32">
        <f>K3*$D$7/1000</f>
        <v>23026.860435747003</v>
      </c>
    </row>
    <row r="4" spans="1:12" ht="32">
      <c r="A4" s="30">
        <v>2</v>
      </c>
      <c r="B4" s="30" t="s">
        <v>437</v>
      </c>
      <c r="C4" s="30" t="s">
        <v>958</v>
      </c>
      <c r="D4" s="30" t="s">
        <v>354</v>
      </c>
      <c r="E4" s="32" t="s">
        <v>438</v>
      </c>
      <c r="F4" s="32">
        <v>160</v>
      </c>
      <c r="G4" s="32">
        <v>1</v>
      </c>
      <c r="H4" s="30">
        <v>1</v>
      </c>
      <c r="I4" s="32">
        <f>F4*H4</f>
        <v>160</v>
      </c>
      <c r="J4" s="32">
        <v>75231.19</v>
      </c>
      <c r="K4" s="32">
        <f>J4*G4</f>
        <v>75231.19</v>
      </c>
      <c r="L4" s="32">
        <f>K4*$D$7/1000</f>
        <v>7675.6201452490004</v>
      </c>
    </row>
    <row r="5" spans="1:12" ht="22" customHeight="1">
      <c r="A5" s="257"/>
      <c r="B5" s="257" t="s">
        <v>3</v>
      </c>
      <c r="C5" s="257"/>
      <c r="D5" s="257"/>
      <c r="E5" s="257"/>
      <c r="F5" s="257"/>
      <c r="G5" s="257"/>
      <c r="H5" s="257"/>
      <c r="I5" s="258">
        <f>SUM(I3:I4)</f>
        <v>1460</v>
      </c>
      <c r="J5" s="257"/>
      <c r="K5" s="258">
        <f>SUM(K3:K4)</f>
        <v>300924.76</v>
      </c>
      <c r="L5" s="258">
        <f>SUM(L3:L4)</f>
        <v>30702.480580996002</v>
      </c>
    </row>
    <row r="7" spans="1:12" ht="16">
      <c r="B7" s="3" t="s">
        <v>960</v>
      </c>
      <c r="C7" s="3" t="s">
        <v>37</v>
      </c>
      <c r="D7" s="183">
        <f>'0_Допущения'!C12</f>
        <v>102.0271</v>
      </c>
    </row>
  </sheetData>
  <mergeCells count="1">
    <mergeCell ref="A1:F1"/>
  </mergeCells>
  <pageMargins left="0.7" right="0.7" top="0.75" bottom="0.75" header="0.3" footer="0.3"/>
  <pageSetup paperSize="9" orientation="landscape" horizontalDpi="0" verticalDpi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03725-F12B-4049-8511-D0A5AFAFA879}">
  <dimension ref="A1:L5"/>
  <sheetViews>
    <sheetView zoomScale="120" zoomScaleNormal="120" workbookViewId="0">
      <selection sqref="A1:K4"/>
    </sheetView>
  </sheetViews>
  <sheetFormatPr baseColWidth="10" defaultColWidth="8.83203125" defaultRowHeight="16"/>
  <cols>
    <col min="1" max="1" width="12.33203125" style="243" bestFit="1" customWidth="1"/>
    <col min="2" max="2" width="12.6640625" style="243" bestFit="1" customWidth="1"/>
    <col min="3" max="3" width="13" style="243" customWidth="1"/>
    <col min="4" max="4" width="11.33203125" style="243" bestFit="1" customWidth="1"/>
    <col min="5" max="5" width="15.5" style="243" customWidth="1"/>
    <col min="6" max="6" width="10.83203125" style="243" bestFit="1" customWidth="1"/>
    <col min="7" max="8" width="13.1640625" style="243" bestFit="1" customWidth="1"/>
    <col min="9" max="9" width="13.5" style="243" bestFit="1" customWidth="1"/>
    <col min="10" max="10" width="11.83203125" style="243" customWidth="1"/>
    <col min="11" max="11" width="29.33203125" style="243" customWidth="1"/>
    <col min="12" max="12" width="52.1640625" style="243" customWidth="1"/>
    <col min="13" max="14" width="31.5" style="243" customWidth="1"/>
    <col min="15" max="255" width="8.83203125" style="243"/>
    <col min="256" max="256" width="12.33203125" style="243" bestFit="1" customWidth="1"/>
    <col min="257" max="257" width="12.6640625" style="243" bestFit="1" customWidth="1"/>
    <col min="258" max="258" width="17.5" style="243" bestFit="1" customWidth="1"/>
    <col min="259" max="259" width="11.33203125" style="243" bestFit="1" customWidth="1"/>
    <col min="260" max="260" width="15.5" style="243" customWidth="1"/>
    <col min="261" max="261" width="16.5" style="243" bestFit="1" customWidth="1"/>
    <col min="262" max="262" width="12.33203125" style="243" bestFit="1" customWidth="1"/>
    <col min="263" max="263" width="15" style="243" customWidth="1"/>
    <col min="264" max="264" width="15.6640625" style="243" bestFit="1" customWidth="1"/>
    <col min="265" max="265" width="14.33203125" style="243" bestFit="1" customWidth="1"/>
    <col min="266" max="266" width="12.33203125" style="243" bestFit="1" customWidth="1"/>
    <col min="267" max="267" width="26.6640625" style="243" bestFit="1" customWidth="1"/>
    <col min="268" max="268" width="52.1640625" style="243" customWidth="1"/>
    <col min="269" max="270" width="31.5" style="243" customWidth="1"/>
    <col min="271" max="511" width="8.83203125" style="243"/>
    <col min="512" max="512" width="12.33203125" style="243" bestFit="1" customWidth="1"/>
    <col min="513" max="513" width="12.6640625" style="243" bestFit="1" customWidth="1"/>
    <col min="514" max="514" width="17.5" style="243" bestFit="1" customWidth="1"/>
    <col min="515" max="515" width="11.33203125" style="243" bestFit="1" customWidth="1"/>
    <col min="516" max="516" width="15.5" style="243" customWidth="1"/>
    <col min="517" max="517" width="16.5" style="243" bestFit="1" customWidth="1"/>
    <col min="518" max="518" width="12.33203125" style="243" bestFit="1" customWidth="1"/>
    <col min="519" max="519" width="15" style="243" customWidth="1"/>
    <col min="520" max="520" width="15.6640625" style="243" bestFit="1" customWidth="1"/>
    <col min="521" max="521" width="14.33203125" style="243" bestFit="1" customWidth="1"/>
    <col min="522" max="522" width="12.33203125" style="243" bestFit="1" customWidth="1"/>
    <col min="523" max="523" width="26.6640625" style="243" bestFit="1" customWidth="1"/>
    <col min="524" max="524" width="52.1640625" style="243" customWidth="1"/>
    <col min="525" max="526" width="31.5" style="243" customWidth="1"/>
    <col min="527" max="767" width="8.83203125" style="243"/>
    <col min="768" max="768" width="12.33203125" style="243" bestFit="1" customWidth="1"/>
    <col min="769" max="769" width="12.6640625" style="243" bestFit="1" customWidth="1"/>
    <col min="770" max="770" width="17.5" style="243" bestFit="1" customWidth="1"/>
    <col min="771" max="771" width="11.33203125" style="243" bestFit="1" customWidth="1"/>
    <col min="772" max="772" width="15.5" style="243" customWidth="1"/>
    <col min="773" max="773" width="16.5" style="243" bestFit="1" customWidth="1"/>
    <col min="774" max="774" width="12.33203125" style="243" bestFit="1" customWidth="1"/>
    <col min="775" max="775" width="15" style="243" customWidth="1"/>
    <col min="776" max="776" width="15.6640625" style="243" bestFit="1" customWidth="1"/>
    <col min="777" max="777" width="14.33203125" style="243" bestFit="1" customWidth="1"/>
    <col min="778" max="778" width="12.33203125" style="243" bestFit="1" customWidth="1"/>
    <col min="779" max="779" width="26.6640625" style="243" bestFit="1" customWidth="1"/>
    <col min="780" max="780" width="52.1640625" style="243" customWidth="1"/>
    <col min="781" max="782" width="31.5" style="243" customWidth="1"/>
    <col min="783" max="1023" width="8.83203125" style="243"/>
    <col min="1024" max="1024" width="12.33203125" style="243" bestFit="1" customWidth="1"/>
    <col min="1025" max="1025" width="12.6640625" style="243" bestFit="1" customWidth="1"/>
    <col min="1026" max="1026" width="17.5" style="243" bestFit="1" customWidth="1"/>
    <col min="1027" max="1027" width="11.33203125" style="243" bestFit="1" customWidth="1"/>
    <col min="1028" max="1028" width="15.5" style="243" customWidth="1"/>
    <col min="1029" max="1029" width="16.5" style="243" bestFit="1" customWidth="1"/>
    <col min="1030" max="1030" width="12.33203125" style="243" bestFit="1" customWidth="1"/>
    <col min="1031" max="1031" width="15" style="243" customWidth="1"/>
    <col min="1032" max="1032" width="15.6640625" style="243" bestFit="1" customWidth="1"/>
    <col min="1033" max="1033" width="14.33203125" style="243" bestFit="1" customWidth="1"/>
    <col min="1034" max="1034" width="12.33203125" style="243" bestFit="1" customWidth="1"/>
    <col min="1035" max="1035" width="26.6640625" style="243" bestFit="1" customWidth="1"/>
    <col min="1036" max="1036" width="52.1640625" style="243" customWidth="1"/>
    <col min="1037" max="1038" width="31.5" style="243" customWidth="1"/>
    <col min="1039" max="1279" width="8.83203125" style="243"/>
    <col min="1280" max="1280" width="12.33203125" style="243" bestFit="1" customWidth="1"/>
    <col min="1281" max="1281" width="12.6640625" style="243" bestFit="1" customWidth="1"/>
    <col min="1282" max="1282" width="17.5" style="243" bestFit="1" customWidth="1"/>
    <col min="1283" max="1283" width="11.33203125" style="243" bestFit="1" customWidth="1"/>
    <col min="1284" max="1284" width="15.5" style="243" customWidth="1"/>
    <col min="1285" max="1285" width="16.5" style="243" bestFit="1" customWidth="1"/>
    <col min="1286" max="1286" width="12.33203125" style="243" bestFit="1" customWidth="1"/>
    <col min="1287" max="1287" width="15" style="243" customWidth="1"/>
    <col min="1288" max="1288" width="15.6640625" style="243" bestFit="1" customWidth="1"/>
    <col min="1289" max="1289" width="14.33203125" style="243" bestFit="1" customWidth="1"/>
    <col min="1290" max="1290" width="12.33203125" style="243" bestFit="1" customWidth="1"/>
    <col min="1291" max="1291" width="26.6640625" style="243" bestFit="1" customWidth="1"/>
    <col min="1292" max="1292" width="52.1640625" style="243" customWidth="1"/>
    <col min="1293" max="1294" width="31.5" style="243" customWidth="1"/>
    <col min="1295" max="1535" width="8.83203125" style="243"/>
    <col min="1536" max="1536" width="12.33203125" style="243" bestFit="1" customWidth="1"/>
    <col min="1537" max="1537" width="12.6640625" style="243" bestFit="1" customWidth="1"/>
    <col min="1538" max="1538" width="17.5" style="243" bestFit="1" customWidth="1"/>
    <col min="1539" max="1539" width="11.33203125" style="243" bestFit="1" customWidth="1"/>
    <col min="1540" max="1540" width="15.5" style="243" customWidth="1"/>
    <col min="1541" max="1541" width="16.5" style="243" bestFit="1" customWidth="1"/>
    <col min="1542" max="1542" width="12.33203125" style="243" bestFit="1" customWidth="1"/>
    <col min="1543" max="1543" width="15" style="243" customWidth="1"/>
    <col min="1544" max="1544" width="15.6640625" style="243" bestFit="1" customWidth="1"/>
    <col min="1545" max="1545" width="14.33203125" style="243" bestFit="1" customWidth="1"/>
    <col min="1546" max="1546" width="12.33203125" style="243" bestFit="1" customWidth="1"/>
    <col min="1547" max="1547" width="26.6640625" style="243" bestFit="1" customWidth="1"/>
    <col min="1548" max="1548" width="52.1640625" style="243" customWidth="1"/>
    <col min="1549" max="1550" width="31.5" style="243" customWidth="1"/>
    <col min="1551" max="1791" width="8.83203125" style="243"/>
    <col min="1792" max="1792" width="12.33203125" style="243" bestFit="1" customWidth="1"/>
    <col min="1793" max="1793" width="12.6640625" style="243" bestFit="1" customWidth="1"/>
    <col min="1794" max="1794" width="17.5" style="243" bestFit="1" customWidth="1"/>
    <col min="1795" max="1795" width="11.33203125" style="243" bestFit="1" customWidth="1"/>
    <col min="1796" max="1796" width="15.5" style="243" customWidth="1"/>
    <col min="1797" max="1797" width="16.5" style="243" bestFit="1" customWidth="1"/>
    <col min="1798" max="1798" width="12.33203125" style="243" bestFit="1" customWidth="1"/>
    <col min="1799" max="1799" width="15" style="243" customWidth="1"/>
    <col min="1800" max="1800" width="15.6640625" style="243" bestFit="1" customWidth="1"/>
    <col min="1801" max="1801" width="14.33203125" style="243" bestFit="1" customWidth="1"/>
    <col min="1802" max="1802" width="12.33203125" style="243" bestFit="1" customWidth="1"/>
    <col min="1803" max="1803" width="26.6640625" style="243" bestFit="1" customWidth="1"/>
    <col min="1804" max="1804" width="52.1640625" style="243" customWidth="1"/>
    <col min="1805" max="1806" width="31.5" style="243" customWidth="1"/>
    <col min="1807" max="2047" width="8.83203125" style="243"/>
    <col min="2048" max="2048" width="12.33203125" style="243" bestFit="1" customWidth="1"/>
    <col min="2049" max="2049" width="12.6640625" style="243" bestFit="1" customWidth="1"/>
    <col min="2050" max="2050" width="17.5" style="243" bestFit="1" customWidth="1"/>
    <col min="2051" max="2051" width="11.33203125" style="243" bestFit="1" customWidth="1"/>
    <col min="2052" max="2052" width="15.5" style="243" customWidth="1"/>
    <col min="2053" max="2053" width="16.5" style="243" bestFit="1" customWidth="1"/>
    <col min="2054" max="2054" width="12.33203125" style="243" bestFit="1" customWidth="1"/>
    <col min="2055" max="2055" width="15" style="243" customWidth="1"/>
    <col min="2056" max="2056" width="15.6640625" style="243" bestFit="1" customWidth="1"/>
    <col min="2057" max="2057" width="14.33203125" style="243" bestFit="1" customWidth="1"/>
    <col min="2058" max="2058" width="12.33203125" style="243" bestFit="1" customWidth="1"/>
    <col min="2059" max="2059" width="26.6640625" style="243" bestFit="1" customWidth="1"/>
    <col min="2060" max="2060" width="52.1640625" style="243" customWidth="1"/>
    <col min="2061" max="2062" width="31.5" style="243" customWidth="1"/>
    <col min="2063" max="2303" width="8.83203125" style="243"/>
    <col min="2304" max="2304" width="12.33203125" style="243" bestFit="1" customWidth="1"/>
    <col min="2305" max="2305" width="12.6640625" style="243" bestFit="1" customWidth="1"/>
    <col min="2306" max="2306" width="17.5" style="243" bestFit="1" customWidth="1"/>
    <col min="2307" max="2307" width="11.33203125" style="243" bestFit="1" customWidth="1"/>
    <col min="2308" max="2308" width="15.5" style="243" customWidth="1"/>
    <col min="2309" max="2309" width="16.5" style="243" bestFit="1" customWidth="1"/>
    <col min="2310" max="2310" width="12.33203125" style="243" bestFit="1" customWidth="1"/>
    <col min="2311" max="2311" width="15" style="243" customWidth="1"/>
    <col min="2312" max="2312" width="15.6640625" style="243" bestFit="1" customWidth="1"/>
    <col min="2313" max="2313" width="14.33203125" style="243" bestFit="1" customWidth="1"/>
    <col min="2314" max="2314" width="12.33203125" style="243" bestFit="1" customWidth="1"/>
    <col min="2315" max="2315" width="26.6640625" style="243" bestFit="1" customWidth="1"/>
    <col min="2316" max="2316" width="52.1640625" style="243" customWidth="1"/>
    <col min="2317" max="2318" width="31.5" style="243" customWidth="1"/>
    <col min="2319" max="2559" width="8.83203125" style="243"/>
    <col min="2560" max="2560" width="12.33203125" style="243" bestFit="1" customWidth="1"/>
    <col min="2561" max="2561" width="12.6640625" style="243" bestFit="1" customWidth="1"/>
    <col min="2562" max="2562" width="17.5" style="243" bestFit="1" customWidth="1"/>
    <col min="2563" max="2563" width="11.33203125" style="243" bestFit="1" customWidth="1"/>
    <col min="2564" max="2564" width="15.5" style="243" customWidth="1"/>
    <col min="2565" max="2565" width="16.5" style="243" bestFit="1" customWidth="1"/>
    <col min="2566" max="2566" width="12.33203125" style="243" bestFit="1" customWidth="1"/>
    <col min="2567" max="2567" width="15" style="243" customWidth="1"/>
    <col min="2568" max="2568" width="15.6640625" style="243" bestFit="1" customWidth="1"/>
    <col min="2569" max="2569" width="14.33203125" style="243" bestFit="1" customWidth="1"/>
    <col min="2570" max="2570" width="12.33203125" style="243" bestFit="1" customWidth="1"/>
    <col min="2571" max="2571" width="26.6640625" style="243" bestFit="1" customWidth="1"/>
    <col min="2572" max="2572" width="52.1640625" style="243" customWidth="1"/>
    <col min="2573" max="2574" width="31.5" style="243" customWidth="1"/>
    <col min="2575" max="2815" width="8.83203125" style="243"/>
    <col min="2816" max="2816" width="12.33203125" style="243" bestFit="1" customWidth="1"/>
    <col min="2817" max="2817" width="12.6640625" style="243" bestFit="1" customWidth="1"/>
    <col min="2818" max="2818" width="17.5" style="243" bestFit="1" customWidth="1"/>
    <col min="2819" max="2819" width="11.33203125" style="243" bestFit="1" customWidth="1"/>
    <col min="2820" max="2820" width="15.5" style="243" customWidth="1"/>
    <col min="2821" max="2821" width="16.5" style="243" bestFit="1" customWidth="1"/>
    <col min="2822" max="2822" width="12.33203125" style="243" bestFit="1" customWidth="1"/>
    <col min="2823" max="2823" width="15" style="243" customWidth="1"/>
    <col min="2824" max="2824" width="15.6640625" style="243" bestFit="1" customWidth="1"/>
    <col min="2825" max="2825" width="14.33203125" style="243" bestFit="1" customWidth="1"/>
    <col min="2826" max="2826" width="12.33203125" style="243" bestFit="1" customWidth="1"/>
    <col min="2827" max="2827" width="26.6640625" style="243" bestFit="1" customWidth="1"/>
    <col min="2828" max="2828" width="52.1640625" style="243" customWidth="1"/>
    <col min="2829" max="2830" width="31.5" style="243" customWidth="1"/>
    <col min="2831" max="3071" width="8.83203125" style="243"/>
    <col min="3072" max="3072" width="12.33203125" style="243" bestFit="1" customWidth="1"/>
    <col min="3073" max="3073" width="12.6640625" style="243" bestFit="1" customWidth="1"/>
    <col min="3074" max="3074" width="17.5" style="243" bestFit="1" customWidth="1"/>
    <col min="3075" max="3075" width="11.33203125" style="243" bestFit="1" customWidth="1"/>
    <col min="3076" max="3076" width="15.5" style="243" customWidth="1"/>
    <col min="3077" max="3077" width="16.5" style="243" bestFit="1" customWidth="1"/>
    <col min="3078" max="3078" width="12.33203125" style="243" bestFit="1" customWidth="1"/>
    <col min="3079" max="3079" width="15" style="243" customWidth="1"/>
    <col min="3080" max="3080" width="15.6640625" style="243" bestFit="1" customWidth="1"/>
    <col min="3081" max="3081" width="14.33203125" style="243" bestFit="1" customWidth="1"/>
    <col min="3082" max="3082" width="12.33203125" style="243" bestFit="1" customWidth="1"/>
    <col min="3083" max="3083" width="26.6640625" style="243" bestFit="1" customWidth="1"/>
    <col min="3084" max="3084" width="52.1640625" style="243" customWidth="1"/>
    <col min="3085" max="3086" width="31.5" style="243" customWidth="1"/>
    <col min="3087" max="3327" width="8.83203125" style="243"/>
    <col min="3328" max="3328" width="12.33203125" style="243" bestFit="1" customWidth="1"/>
    <col min="3329" max="3329" width="12.6640625" style="243" bestFit="1" customWidth="1"/>
    <col min="3330" max="3330" width="17.5" style="243" bestFit="1" customWidth="1"/>
    <col min="3331" max="3331" width="11.33203125" style="243" bestFit="1" customWidth="1"/>
    <col min="3332" max="3332" width="15.5" style="243" customWidth="1"/>
    <col min="3333" max="3333" width="16.5" style="243" bestFit="1" customWidth="1"/>
    <col min="3334" max="3334" width="12.33203125" style="243" bestFit="1" customWidth="1"/>
    <col min="3335" max="3335" width="15" style="243" customWidth="1"/>
    <col min="3336" max="3336" width="15.6640625" style="243" bestFit="1" customWidth="1"/>
    <col min="3337" max="3337" width="14.33203125" style="243" bestFit="1" customWidth="1"/>
    <col min="3338" max="3338" width="12.33203125" style="243" bestFit="1" customWidth="1"/>
    <col min="3339" max="3339" width="26.6640625" style="243" bestFit="1" customWidth="1"/>
    <col min="3340" max="3340" width="52.1640625" style="243" customWidth="1"/>
    <col min="3341" max="3342" width="31.5" style="243" customWidth="1"/>
    <col min="3343" max="3583" width="8.83203125" style="243"/>
    <col min="3584" max="3584" width="12.33203125" style="243" bestFit="1" customWidth="1"/>
    <col min="3585" max="3585" width="12.6640625" style="243" bestFit="1" customWidth="1"/>
    <col min="3586" max="3586" width="17.5" style="243" bestFit="1" customWidth="1"/>
    <col min="3587" max="3587" width="11.33203125" style="243" bestFit="1" customWidth="1"/>
    <col min="3588" max="3588" width="15.5" style="243" customWidth="1"/>
    <col min="3589" max="3589" width="16.5" style="243" bestFit="1" customWidth="1"/>
    <col min="3590" max="3590" width="12.33203125" style="243" bestFit="1" customWidth="1"/>
    <col min="3591" max="3591" width="15" style="243" customWidth="1"/>
    <col min="3592" max="3592" width="15.6640625" style="243" bestFit="1" customWidth="1"/>
    <col min="3593" max="3593" width="14.33203125" style="243" bestFit="1" customWidth="1"/>
    <col min="3594" max="3594" width="12.33203125" style="243" bestFit="1" customWidth="1"/>
    <col min="3595" max="3595" width="26.6640625" style="243" bestFit="1" customWidth="1"/>
    <col min="3596" max="3596" width="52.1640625" style="243" customWidth="1"/>
    <col min="3597" max="3598" width="31.5" style="243" customWidth="1"/>
    <col min="3599" max="3839" width="8.83203125" style="243"/>
    <col min="3840" max="3840" width="12.33203125" style="243" bestFit="1" customWidth="1"/>
    <col min="3841" max="3841" width="12.6640625" style="243" bestFit="1" customWidth="1"/>
    <col min="3842" max="3842" width="17.5" style="243" bestFit="1" customWidth="1"/>
    <col min="3843" max="3843" width="11.33203125" style="243" bestFit="1" customWidth="1"/>
    <col min="3844" max="3844" width="15.5" style="243" customWidth="1"/>
    <col min="3845" max="3845" width="16.5" style="243" bestFit="1" customWidth="1"/>
    <col min="3846" max="3846" width="12.33203125" style="243" bestFit="1" customWidth="1"/>
    <col min="3847" max="3847" width="15" style="243" customWidth="1"/>
    <col min="3848" max="3848" width="15.6640625" style="243" bestFit="1" customWidth="1"/>
    <col min="3849" max="3849" width="14.33203125" style="243" bestFit="1" customWidth="1"/>
    <col min="3850" max="3850" width="12.33203125" style="243" bestFit="1" customWidth="1"/>
    <col min="3851" max="3851" width="26.6640625" style="243" bestFit="1" customWidth="1"/>
    <col min="3852" max="3852" width="52.1640625" style="243" customWidth="1"/>
    <col min="3853" max="3854" width="31.5" style="243" customWidth="1"/>
    <col min="3855" max="4095" width="8.83203125" style="243"/>
    <col min="4096" max="4096" width="12.33203125" style="243" bestFit="1" customWidth="1"/>
    <col min="4097" max="4097" width="12.6640625" style="243" bestFit="1" customWidth="1"/>
    <col min="4098" max="4098" width="17.5" style="243" bestFit="1" customWidth="1"/>
    <col min="4099" max="4099" width="11.33203125" style="243" bestFit="1" customWidth="1"/>
    <col min="4100" max="4100" width="15.5" style="243" customWidth="1"/>
    <col min="4101" max="4101" width="16.5" style="243" bestFit="1" customWidth="1"/>
    <col min="4102" max="4102" width="12.33203125" style="243" bestFit="1" customWidth="1"/>
    <col min="4103" max="4103" width="15" style="243" customWidth="1"/>
    <col min="4104" max="4104" width="15.6640625" style="243" bestFit="1" customWidth="1"/>
    <col min="4105" max="4105" width="14.33203125" style="243" bestFit="1" customWidth="1"/>
    <col min="4106" max="4106" width="12.33203125" style="243" bestFit="1" customWidth="1"/>
    <col min="4107" max="4107" width="26.6640625" style="243" bestFit="1" customWidth="1"/>
    <col min="4108" max="4108" width="52.1640625" style="243" customWidth="1"/>
    <col min="4109" max="4110" width="31.5" style="243" customWidth="1"/>
    <col min="4111" max="4351" width="8.83203125" style="243"/>
    <col min="4352" max="4352" width="12.33203125" style="243" bestFit="1" customWidth="1"/>
    <col min="4353" max="4353" width="12.6640625" style="243" bestFit="1" customWidth="1"/>
    <col min="4354" max="4354" width="17.5" style="243" bestFit="1" customWidth="1"/>
    <col min="4355" max="4355" width="11.33203125" style="243" bestFit="1" customWidth="1"/>
    <col min="4356" max="4356" width="15.5" style="243" customWidth="1"/>
    <col min="4357" max="4357" width="16.5" style="243" bestFit="1" customWidth="1"/>
    <col min="4358" max="4358" width="12.33203125" style="243" bestFit="1" customWidth="1"/>
    <col min="4359" max="4359" width="15" style="243" customWidth="1"/>
    <col min="4360" max="4360" width="15.6640625" style="243" bestFit="1" customWidth="1"/>
    <col min="4361" max="4361" width="14.33203125" style="243" bestFit="1" customWidth="1"/>
    <col min="4362" max="4362" width="12.33203125" style="243" bestFit="1" customWidth="1"/>
    <col min="4363" max="4363" width="26.6640625" style="243" bestFit="1" customWidth="1"/>
    <col min="4364" max="4364" width="52.1640625" style="243" customWidth="1"/>
    <col min="4365" max="4366" width="31.5" style="243" customWidth="1"/>
    <col min="4367" max="4607" width="8.83203125" style="243"/>
    <col min="4608" max="4608" width="12.33203125" style="243" bestFit="1" customWidth="1"/>
    <col min="4609" max="4609" width="12.6640625" style="243" bestFit="1" customWidth="1"/>
    <col min="4610" max="4610" width="17.5" style="243" bestFit="1" customWidth="1"/>
    <col min="4611" max="4611" width="11.33203125" style="243" bestFit="1" customWidth="1"/>
    <col min="4612" max="4612" width="15.5" style="243" customWidth="1"/>
    <col min="4613" max="4613" width="16.5" style="243" bestFit="1" customWidth="1"/>
    <col min="4614" max="4614" width="12.33203125" style="243" bestFit="1" customWidth="1"/>
    <col min="4615" max="4615" width="15" style="243" customWidth="1"/>
    <col min="4616" max="4616" width="15.6640625" style="243" bestFit="1" customWidth="1"/>
    <col min="4617" max="4617" width="14.33203125" style="243" bestFit="1" customWidth="1"/>
    <col min="4618" max="4618" width="12.33203125" style="243" bestFit="1" customWidth="1"/>
    <col min="4619" max="4619" width="26.6640625" style="243" bestFit="1" customWidth="1"/>
    <col min="4620" max="4620" width="52.1640625" style="243" customWidth="1"/>
    <col min="4621" max="4622" width="31.5" style="243" customWidth="1"/>
    <col min="4623" max="4863" width="8.83203125" style="243"/>
    <col min="4864" max="4864" width="12.33203125" style="243" bestFit="1" customWidth="1"/>
    <col min="4865" max="4865" width="12.6640625" style="243" bestFit="1" customWidth="1"/>
    <col min="4866" max="4866" width="17.5" style="243" bestFit="1" customWidth="1"/>
    <col min="4867" max="4867" width="11.33203125" style="243" bestFit="1" customWidth="1"/>
    <col min="4868" max="4868" width="15.5" style="243" customWidth="1"/>
    <col min="4869" max="4869" width="16.5" style="243" bestFit="1" customWidth="1"/>
    <col min="4870" max="4870" width="12.33203125" style="243" bestFit="1" customWidth="1"/>
    <col min="4871" max="4871" width="15" style="243" customWidth="1"/>
    <col min="4872" max="4872" width="15.6640625" style="243" bestFit="1" customWidth="1"/>
    <col min="4873" max="4873" width="14.33203125" style="243" bestFit="1" customWidth="1"/>
    <col min="4874" max="4874" width="12.33203125" style="243" bestFit="1" customWidth="1"/>
    <col min="4875" max="4875" width="26.6640625" style="243" bestFit="1" customWidth="1"/>
    <col min="4876" max="4876" width="52.1640625" style="243" customWidth="1"/>
    <col min="4877" max="4878" width="31.5" style="243" customWidth="1"/>
    <col min="4879" max="5119" width="8.83203125" style="243"/>
    <col min="5120" max="5120" width="12.33203125" style="243" bestFit="1" customWidth="1"/>
    <col min="5121" max="5121" width="12.6640625" style="243" bestFit="1" customWidth="1"/>
    <col min="5122" max="5122" width="17.5" style="243" bestFit="1" customWidth="1"/>
    <col min="5123" max="5123" width="11.33203125" style="243" bestFit="1" customWidth="1"/>
    <col min="5124" max="5124" width="15.5" style="243" customWidth="1"/>
    <col min="5125" max="5125" width="16.5" style="243" bestFit="1" customWidth="1"/>
    <col min="5126" max="5126" width="12.33203125" style="243" bestFit="1" customWidth="1"/>
    <col min="5127" max="5127" width="15" style="243" customWidth="1"/>
    <col min="5128" max="5128" width="15.6640625" style="243" bestFit="1" customWidth="1"/>
    <col min="5129" max="5129" width="14.33203125" style="243" bestFit="1" customWidth="1"/>
    <col min="5130" max="5130" width="12.33203125" style="243" bestFit="1" customWidth="1"/>
    <col min="5131" max="5131" width="26.6640625" style="243" bestFit="1" customWidth="1"/>
    <col min="5132" max="5132" width="52.1640625" style="243" customWidth="1"/>
    <col min="5133" max="5134" width="31.5" style="243" customWidth="1"/>
    <col min="5135" max="5375" width="8.83203125" style="243"/>
    <col min="5376" max="5376" width="12.33203125" style="243" bestFit="1" customWidth="1"/>
    <col min="5377" max="5377" width="12.6640625" style="243" bestFit="1" customWidth="1"/>
    <col min="5378" max="5378" width="17.5" style="243" bestFit="1" customWidth="1"/>
    <col min="5379" max="5379" width="11.33203125" style="243" bestFit="1" customWidth="1"/>
    <col min="5380" max="5380" width="15.5" style="243" customWidth="1"/>
    <col min="5381" max="5381" width="16.5" style="243" bestFit="1" customWidth="1"/>
    <col min="5382" max="5382" width="12.33203125" style="243" bestFit="1" customWidth="1"/>
    <col min="5383" max="5383" width="15" style="243" customWidth="1"/>
    <col min="5384" max="5384" width="15.6640625" style="243" bestFit="1" customWidth="1"/>
    <col min="5385" max="5385" width="14.33203125" style="243" bestFit="1" customWidth="1"/>
    <col min="5386" max="5386" width="12.33203125" style="243" bestFit="1" customWidth="1"/>
    <col min="5387" max="5387" width="26.6640625" style="243" bestFit="1" customWidth="1"/>
    <col min="5388" max="5388" width="52.1640625" style="243" customWidth="1"/>
    <col min="5389" max="5390" width="31.5" style="243" customWidth="1"/>
    <col min="5391" max="5631" width="8.83203125" style="243"/>
    <col min="5632" max="5632" width="12.33203125" style="243" bestFit="1" customWidth="1"/>
    <col min="5633" max="5633" width="12.6640625" style="243" bestFit="1" customWidth="1"/>
    <col min="5634" max="5634" width="17.5" style="243" bestFit="1" customWidth="1"/>
    <col min="5635" max="5635" width="11.33203125" style="243" bestFit="1" customWidth="1"/>
    <col min="5636" max="5636" width="15.5" style="243" customWidth="1"/>
    <col min="5637" max="5637" width="16.5" style="243" bestFit="1" customWidth="1"/>
    <col min="5638" max="5638" width="12.33203125" style="243" bestFit="1" customWidth="1"/>
    <col min="5639" max="5639" width="15" style="243" customWidth="1"/>
    <col min="5640" max="5640" width="15.6640625" style="243" bestFit="1" customWidth="1"/>
    <col min="5641" max="5641" width="14.33203125" style="243" bestFit="1" customWidth="1"/>
    <col min="5642" max="5642" width="12.33203125" style="243" bestFit="1" customWidth="1"/>
    <col min="5643" max="5643" width="26.6640625" style="243" bestFit="1" customWidth="1"/>
    <col min="5644" max="5644" width="52.1640625" style="243" customWidth="1"/>
    <col min="5645" max="5646" width="31.5" style="243" customWidth="1"/>
    <col min="5647" max="5887" width="8.83203125" style="243"/>
    <col min="5888" max="5888" width="12.33203125" style="243" bestFit="1" customWidth="1"/>
    <col min="5889" max="5889" width="12.6640625" style="243" bestFit="1" customWidth="1"/>
    <col min="5890" max="5890" width="17.5" style="243" bestFit="1" customWidth="1"/>
    <col min="5891" max="5891" width="11.33203125" style="243" bestFit="1" customWidth="1"/>
    <col min="5892" max="5892" width="15.5" style="243" customWidth="1"/>
    <col min="5893" max="5893" width="16.5" style="243" bestFit="1" customWidth="1"/>
    <col min="5894" max="5894" width="12.33203125" style="243" bestFit="1" customWidth="1"/>
    <col min="5895" max="5895" width="15" style="243" customWidth="1"/>
    <col min="5896" max="5896" width="15.6640625" style="243" bestFit="1" customWidth="1"/>
    <col min="5897" max="5897" width="14.33203125" style="243" bestFit="1" customWidth="1"/>
    <col min="5898" max="5898" width="12.33203125" style="243" bestFit="1" customWidth="1"/>
    <col min="5899" max="5899" width="26.6640625" style="243" bestFit="1" customWidth="1"/>
    <col min="5900" max="5900" width="52.1640625" style="243" customWidth="1"/>
    <col min="5901" max="5902" width="31.5" style="243" customWidth="1"/>
    <col min="5903" max="6143" width="8.83203125" style="243"/>
    <col min="6144" max="6144" width="12.33203125" style="243" bestFit="1" customWidth="1"/>
    <col min="6145" max="6145" width="12.6640625" style="243" bestFit="1" customWidth="1"/>
    <col min="6146" max="6146" width="17.5" style="243" bestFit="1" customWidth="1"/>
    <col min="6147" max="6147" width="11.33203125" style="243" bestFit="1" customWidth="1"/>
    <col min="6148" max="6148" width="15.5" style="243" customWidth="1"/>
    <col min="6149" max="6149" width="16.5" style="243" bestFit="1" customWidth="1"/>
    <col min="6150" max="6150" width="12.33203125" style="243" bestFit="1" customWidth="1"/>
    <col min="6151" max="6151" width="15" style="243" customWidth="1"/>
    <col min="6152" max="6152" width="15.6640625" style="243" bestFit="1" customWidth="1"/>
    <col min="6153" max="6153" width="14.33203125" style="243" bestFit="1" customWidth="1"/>
    <col min="6154" max="6154" width="12.33203125" style="243" bestFit="1" customWidth="1"/>
    <col min="6155" max="6155" width="26.6640625" style="243" bestFit="1" customWidth="1"/>
    <col min="6156" max="6156" width="52.1640625" style="243" customWidth="1"/>
    <col min="6157" max="6158" width="31.5" style="243" customWidth="1"/>
    <col min="6159" max="6399" width="8.83203125" style="243"/>
    <col min="6400" max="6400" width="12.33203125" style="243" bestFit="1" customWidth="1"/>
    <col min="6401" max="6401" width="12.6640625" style="243" bestFit="1" customWidth="1"/>
    <col min="6402" max="6402" width="17.5" style="243" bestFit="1" customWidth="1"/>
    <col min="6403" max="6403" width="11.33203125" style="243" bestFit="1" customWidth="1"/>
    <col min="6404" max="6404" width="15.5" style="243" customWidth="1"/>
    <col min="6405" max="6405" width="16.5" style="243" bestFit="1" customWidth="1"/>
    <col min="6406" max="6406" width="12.33203125" style="243" bestFit="1" customWidth="1"/>
    <col min="6407" max="6407" width="15" style="243" customWidth="1"/>
    <col min="6408" max="6408" width="15.6640625" style="243" bestFit="1" customWidth="1"/>
    <col min="6409" max="6409" width="14.33203125" style="243" bestFit="1" customWidth="1"/>
    <col min="6410" max="6410" width="12.33203125" style="243" bestFit="1" customWidth="1"/>
    <col min="6411" max="6411" width="26.6640625" style="243" bestFit="1" customWidth="1"/>
    <col min="6412" max="6412" width="52.1640625" style="243" customWidth="1"/>
    <col min="6413" max="6414" width="31.5" style="243" customWidth="1"/>
    <col min="6415" max="6655" width="8.83203125" style="243"/>
    <col min="6656" max="6656" width="12.33203125" style="243" bestFit="1" customWidth="1"/>
    <col min="6657" max="6657" width="12.6640625" style="243" bestFit="1" customWidth="1"/>
    <col min="6658" max="6658" width="17.5" style="243" bestFit="1" customWidth="1"/>
    <col min="6659" max="6659" width="11.33203125" style="243" bestFit="1" customWidth="1"/>
    <col min="6660" max="6660" width="15.5" style="243" customWidth="1"/>
    <col min="6661" max="6661" width="16.5" style="243" bestFit="1" customWidth="1"/>
    <col min="6662" max="6662" width="12.33203125" style="243" bestFit="1" customWidth="1"/>
    <col min="6663" max="6663" width="15" style="243" customWidth="1"/>
    <col min="6664" max="6664" width="15.6640625" style="243" bestFit="1" customWidth="1"/>
    <col min="6665" max="6665" width="14.33203125" style="243" bestFit="1" customWidth="1"/>
    <col min="6666" max="6666" width="12.33203125" style="243" bestFit="1" customWidth="1"/>
    <col min="6667" max="6667" width="26.6640625" style="243" bestFit="1" customWidth="1"/>
    <col min="6668" max="6668" width="52.1640625" style="243" customWidth="1"/>
    <col min="6669" max="6670" width="31.5" style="243" customWidth="1"/>
    <col min="6671" max="6911" width="8.83203125" style="243"/>
    <col min="6912" max="6912" width="12.33203125" style="243" bestFit="1" customWidth="1"/>
    <col min="6913" max="6913" width="12.6640625" style="243" bestFit="1" customWidth="1"/>
    <col min="6914" max="6914" width="17.5" style="243" bestFit="1" customWidth="1"/>
    <col min="6915" max="6915" width="11.33203125" style="243" bestFit="1" customWidth="1"/>
    <col min="6916" max="6916" width="15.5" style="243" customWidth="1"/>
    <col min="6917" max="6917" width="16.5" style="243" bestFit="1" customWidth="1"/>
    <col min="6918" max="6918" width="12.33203125" style="243" bestFit="1" customWidth="1"/>
    <col min="6919" max="6919" width="15" style="243" customWidth="1"/>
    <col min="6920" max="6920" width="15.6640625" style="243" bestFit="1" customWidth="1"/>
    <col min="6921" max="6921" width="14.33203125" style="243" bestFit="1" customWidth="1"/>
    <col min="6922" max="6922" width="12.33203125" style="243" bestFit="1" customWidth="1"/>
    <col min="6923" max="6923" width="26.6640625" style="243" bestFit="1" customWidth="1"/>
    <col min="6924" max="6924" width="52.1640625" style="243" customWidth="1"/>
    <col min="6925" max="6926" width="31.5" style="243" customWidth="1"/>
    <col min="6927" max="7167" width="8.83203125" style="243"/>
    <col min="7168" max="7168" width="12.33203125" style="243" bestFit="1" customWidth="1"/>
    <col min="7169" max="7169" width="12.6640625" style="243" bestFit="1" customWidth="1"/>
    <col min="7170" max="7170" width="17.5" style="243" bestFit="1" customWidth="1"/>
    <col min="7171" max="7171" width="11.33203125" style="243" bestFit="1" customWidth="1"/>
    <col min="7172" max="7172" width="15.5" style="243" customWidth="1"/>
    <col min="7173" max="7173" width="16.5" style="243" bestFit="1" customWidth="1"/>
    <col min="7174" max="7174" width="12.33203125" style="243" bestFit="1" customWidth="1"/>
    <col min="7175" max="7175" width="15" style="243" customWidth="1"/>
    <col min="7176" max="7176" width="15.6640625" style="243" bestFit="1" customWidth="1"/>
    <col min="7177" max="7177" width="14.33203125" style="243" bestFit="1" customWidth="1"/>
    <col min="7178" max="7178" width="12.33203125" style="243" bestFit="1" customWidth="1"/>
    <col min="7179" max="7179" width="26.6640625" style="243" bestFit="1" customWidth="1"/>
    <col min="7180" max="7180" width="52.1640625" style="243" customWidth="1"/>
    <col min="7181" max="7182" width="31.5" style="243" customWidth="1"/>
    <col min="7183" max="7423" width="8.83203125" style="243"/>
    <col min="7424" max="7424" width="12.33203125" style="243" bestFit="1" customWidth="1"/>
    <col min="7425" max="7425" width="12.6640625" style="243" bestFit="1" customWidth="1"/>
    <col min="7426" max="7426" width="17.5" style="243" bestFit="1" customWidth="1"/>
    <col min="7427" max="7427" width="11.33203125" style="243" bestFit="1" customWidth="1"/>
    <col min="7428" max="7428" width="15.5" style="243" customWidth="1"/>
    <col min="7429" max="7429" width="16.5" style="243" bestFit="1" customWidth="1"/>
    <col min="7430" max="7430" width="12.33203125" style="243" bestFit="1" customWidth="1"/>
    <col min="7431" max="7431" width="15" style="243" customWidth="1"/>
    <col min="7432" max="7432" width="15.6640625" style="243" bestFit="1" customWidth="1"/>
    <col min="7433" max="7433" width="14.33203125" style="243" bestFit="1" customWidth="1"/>
    <col min="7434" max="7434" width="12.33203125" style="243" bestFit="1" customWidth="1"/>
    <col min="7435" max="7435" width="26.6640625" style="243" bestFit="1" customWidth="1"/>
    <col min="7436" max="7436" width="52.1640625" style="243" customWidth="1"/>
    <col min="7437" max="7438" width="31.5" style="243" customWidth="1"/>
    <col min="7439" max="7679" width="8.83203125" style="243"/>
    <col min="7680" max="7680" width="12.33203125" style="243" bestFit="1" customWidth="1"/>
    <col min="7681" max="7681" width="12.6640625" style="243" bestFit="1" customWidth="1"/>
    <col min="7682" max="7682" width="17.5" style="243" bestFit="1" customWidth="1"/>
    <col min="7683" max="7683" width="11.33203125" style="243" bestFit="1" customWidth="1"/>
    <col min="7684" max="7684" width="15.5" style="243" customWidth="1"/>
    <col min="7685" max="7685" width="16.5" style="243" bestFit="1" customWidth="1"/>
    <col min="7686" max="7686" width="12.33203125" style="243" bestFit="1" customWidth="1"/>
    <col min="7687" max="7687" width="15" style="243" customWidth="1"/>
    <col min="7688" max="7688" width="15.6640625" style="243" bestFit="1" customWidth="1"/>
    <col min="7689" max="7689" width="14.33203125" style="243" bestFit="1" customWidth="1"/>
    <col min="7690" max="7690" width="12.33203125" style="243" bestFit="1" customWidth="1"/>
    <col min="7691" max="7691" width="26.6640625" style="243" bestFit="1" customWidth="1"/>
    <col min="7692" max="7692" width="52.1640625" style="243" customWidth="1"/>
    <col min="7693" max="7694" width="31.5" style="243" customWidth="1"/>
    <col min="7695" max="7935" width="8.83203125" style="243"/>
    <col min="7936" max="7936" width="12.33203125" style="243" bestFit="1" customWidth="1"/>
    <col min="7937" max="7937" width="12.6640625" style="243" bestFit="1" customWidth="1"/>
    <col min="7938" max="7938" width="17.5" style="243" bestFit="1" customWidth="1"/>
    <col min="7939" max="7939" width="11.33203125" style="243" bestFit="1" customWidth="1"/>
    <col min="7940" max="7940" width="15.5" style="243" customWidth="1"/>
    <col min="7941" max="7941" width="16.5" style="243" bestFit="1" customWidth="1"/>
    <col min="7942" max="7942" width="12.33203125" style="243" bestFit="1" customWidth="1"/>
    <col min="7943" max="7943" width="15" style="243" customWidth="1"/>
    <col min="7944" max="7944" width="15.6640625" style="243" bestFit="1" customWidth="1"/>
    <col min="7945" max="7945" width="14.33203125" style="243" bestFit="1" customWidth="1"/>
    <col min="7946" max="7946" width="12.33203125" style="243" bestFit="1" customWidth="1"/>
    <col min="7947" max="7947" width="26.6640625" style="243" bestFit="1" customWidth="1"/>
    <col min="7948" max="7948" width="52.1640625" style="243" customWidth="1"/>
    <col min="7949" max="7950" width="31.5" style="243" customWidth="1"/>
    <col min="7951" max="8191" width="8.83203125" style="243"/>
    <col min="8192" max="8192" width="12.33203125" style="243" bestFit="1" customWidth="1"/>
    <col min="8193" max="8193" width="12.6640625" style="243" bestFit="1" customWidth="1"/>
    <col min="8194" max="8194" width="17.5" style="243" bestFit="1" customWidth="1"/>
    <col min="8195" max="8195" width="11.33203125" style="243" bestFit="1" customWidth="1"/>
    <col min="8196" max="8196" width="15.5" style="243" customWidth="1"/>
    <col min="8197" max="8197" width="16.5" style="243" bestFit="1" customWidth="1"/>
    <col min="8198" max="8198" width="12.33203125" style="243" bestFit="1" customWidth="1"/>
    <col min="8199" max="8199" width="15" style="243" customWidth="1"/>
    <col min="8200" max="8200" width="15.6640625" style="243" bestFit="1" customWidth="1"/>
    <col min="8201" max="8201" width="14.33203125" style="243" bestFit="1" customWidth="1"/>
    <col min="8202" max="8202" width="12.33203125" style="243" bestFit="1" customWidth="1"/>
    <col min="8203" max="8203" width="26.6640625" style="243" bestFit="1" customWidth="1"/>
    <col min="8204" max="8204" width="52.1640625" style="243" customWidth="1"/>
    <col min="8205" max="8206" width="31.5" style="243" customWidth="1"/>
    <col min="8207" max="8447" width="8.83203125" style="243"/>
    <col min="8448" max="8448" width="12.33203125" style="243" bestFit="1" customWidth="1"/>
    <col min="8449" max="8449" width="12.6640625" style="243" bestFit="1" customWidth="1"/>
    <col min="8450" max="8450" width="17.5" style="243" bestFit="1" customWidth="1"/>
    <col min="8451" max="8451" width="11.33203125" style="243" bestFit="1" customWidth="1"/>
    <col min="8452" max="8452" width="15.5" style="243" customWidth="1"/>
    <col min="8453" max="8453" width="16.5" style="243" bestFit="1" customWidth="1"/>
    <col min="8454" max="8454" width="12.33203125" style="243" bestFit="1" customWidth="1"/>
    <col min="8455" max="8455" width="15" style="243" customWidth="1"/>
    <col min="8456" max="8456" width="15.6640625" style="243" bestFit="1" customWidth="1"/>
    <col min="8457" max="8457" width="14.33203125" style="243" bestFit="1" customWidth="1"/>
    <col min="8458" max="8458" width="12.33203125" style="243" bestFit="1" customWidth="1"/>
    <col min="8459" max="8459" width="26.6640625" style="243" bestFit="1" customWidth="1"/>
    <col min="8460" max="8460" width="52.1640625" style="243" customWidth="1"/>
    <col min="8461" max="8462" width="31.5" style="243" customWidth="1"/>
    <col min="8463" max="8703" width="8.83203125" style="243"/>
    <col min="8704" max="8704" width="12.33203125" style="243" bestFit="1" customWidth="1"/>
    <col min="8705" max="8705" width="12.6640625" style="243" bestFit="1" customWidth="1"/>
    <col min="8706" max="8706" width="17.5" style="243" bestFit="1" customWidth="1"/>
    <col min="8707" max="8707" width="11.33203125" style="243" bestFit="1" customWidth="1"/>
    <col min="8708" max="8708" width="15.5" style="243" customWidth="1"/>
    <col min="8709" max="8709" width="16.5" style="243" bestFit="1" customWidth="1"/>
    <col min="8710" max="8710" width="12.33203125" style="243" bestFit="1" customWidth="1"/>
    <col min="8711" max="8711" width="15" style="243" customWidth="1"/>
    <col min="8712" max="8712" width="15.6640625" style="243" bestFit="1" customWidth="1"/>
    <col min="8713" max="8713" width="14.33203125" style="243" bestFit="1" customWidth="1"/>
    <col min="8714" max="8714" width="12.33203125" style="243" bestFit="1" customWidth="1"/>
    <col min="8715" max="8715" width="26.6640625" style="243" bestFit="1" customWidth="1"/>
    <col min="8716" max="8716" width="52.1640625" style="243" customWidth="1"/>
    <col min="8717" max="8718" width="31.5" style="243" customWidth="1"/>
    <col min="8719" max="8959" width="8.83203125" style="243"/>
    <col min="8960" max="8960" width="12.33203125" style="243" bestFit="1" customWidth="1"/>
    <col min="8961" max="8961" width="12.6640625" style="243" bestFit="1" customWidth="1"/>
    <col min="8962" max="8962" width="17.5" style="243" bestFit="1" customWidth="1"/>
    <col min="8963" max="8963" width="11.33203125" style="243" bestFit="1" customWidth="1"/>
    <col min="8964" max="8964" width="15.5" style="243" customWidth="1"/>
    <col min="8965" max="8965" width="16.5" style="243" bestFit="1" customWidth="1"/>
    <col min="8966" max="8966" width="12.33203125" style="243" bestFit="1" customWidth="1"/>
    <col min="8967" max="8967" width="15" style="243" customWidth="1"/>
    <col min="8968" max="8968" width="15.6640625" style="243" bestFit="1" customWidth="1"/>
    <col min="8969" max="8969" width="14.33203125" style="243" bestFit="1" customWidth="1"/>
    <col min="8970" max="8970" width="12.33203125" style="243" bestFit="1" customWidth="1"/>
    <col min="8971" max="8971" width="26.6640625" style="243" bestFit="1" customWidth="1"/>
    <col min="8972" max="8972" width="52.1640625" style="243" customWidth="1"/>
    <col min="8973" max="8974" width="31.5" style="243" customWidth="1"/>
    <col min="8975" max="9215" width="8.83203125" style="243"/>
    <col min="9216" max="9216" width="12.33203125" style="243" bestFit="1" customWidth="1"/>
    <col min="9217" max="9217" width="12.6640625" style="243" bestFit="1" customWidth="1"/>
    <col min="9218" max="9218" width="17.5" style="243" bestFit="1" customWidth="1"/>
    <col min="9219" max="9219" width="11.33203125" style="243" bestFit="1" customWidth="1"/>
    <col min="9220" max="9220" width="15.5" style="243" customWidth="1"/>
    <col min="9221" max="9221" width="16.5" style="243" bestFit="1" customWidth="1"/>
    <col min="9222" max="9222" width="12.33203125" style="243" bestFit="1" customWidth="1"/>
    <col min="9223" max="9223" width="15" style="243" customWidth="1"/>
    <col min="9224" max="9224" width="15.6640625" style="243" bestFit="1" customWidth="1"/>
    <col min="9225" max="9225" width="14.33203125" style="243" bestFit="1" customWidth="1"/>
    <col min="9226" max="9226" width="12.33203125" style="243" bestFit="1" customWidth="1"/>
    <col min="9227" max="9227" width="26.6640625" style="243" bestFit="1" customWidth="1"/>
    <col min="9228" max="9228" width="52.1640625" style="243" customWidth="1"/>
    <col min="9229" max="9230" width="31.5" style="243" customWidth="1"/>
    <col min="9231" max="9471" width="8.83203125" style="243"/>
    <col min="9472" max="9472" width="12.33203125" style="243" bestFit="1" customWidth="1"/>
    <col min="9473" max="9473" width="12.6640625" style="243" bestFit="1" customWidth="1"/>
    <col min="9474" max="9474" width="17.5" style="243" bestFit="1" customWidth="1"/>
    <col min="9475" max="9475" width="11.33203125" style="243" bestFit="1" customWidth="1"/>
    <col min="9476" max="9476" width="15.5" style="243" customWidth="1"/>
    <col min="9477" max="9477" width="16.5" style="243" bestFit="1" customWidth="1"/>
    <col min="9478" max="9478" width="12.33203125" style="243" bestFit="1" customWidth="1"/>
    <col min="9479" max="9479" width="15" style="243" customWidth="1"/>
    <col min="9480" max="9480" width="15.6640625" style="243" bestFit="1" customWidth="1"/>
    <col min="9481" max="9481" width="14.33203125" style="243" bestFit="1" customWidth="1"/>
    <col min="9482" max="9482" width="12.33203125" style="243" bestFit="1" customWidth="1"/>
    <col min="9483" max="9483" width="26.6640625" style="243" bestFit="1" customWidth="1"/>
    <col min="9484" max="9484" width="52.1640625" style="243" customWidth="1"/>
    <col min="9485" max="9486" width="31.5" style="243" customWidth="1"/>
    <col min="9487" max="9727" width="8.83203125" style="243"/>
    <col min="9728" max="9728" width="12.33203125" style="243" bestFit="1" customWidth="1"/>
    <col min="9729" max="9729" width="12.6640625" style="243" bestFit="1" customWidth="1"/>
    <col min="9730" max="9730" width="17.5" style="243" bestFit="1" customWidth="1"/>
    <col min="9731" max="9731" width="11.33203125" style="243" bestFit="1" customWidth="1"/>
    <col min="9732" max="9732" width="15.5" style="243" customWidth="1"/>
    <col min="9733" max="9733" width="16.5" style="243" bestFit="1" customWidth="1"/>
    <col min="9734" max="9734" width="12.33203125" style="243" bestFit="1" customWidth="1"/>
    <col min="9735" max="9735" width="15" style="243" customWidth="1"/>
    <col min="9736" max="9736" width="15.6640625" style="243" bestFit="1" customWidth="1"/>
    <col min="9737" max="9737" width="14.33203125" style="243" bestFit="1" customWidth="1"/>
    <col min="9738" max="9738" width="12.33203125" style="243" bestFit="1" customWidth="1"/>
    <col min="9739" max="9739" width="26.6640625" style="243" bestFit="1" customWidth="1"/>
    <col min="9740" max="9740" width="52.1640625" style="243" customWidth="1"/>
    <col min="9741" max="9742" width="31.5" style="243" customWidth="1"/>
    <col min="9743" max="9983" width="8.83203125" style="243"/>
    <col min="9984" max="9984" width="12.33203125" style="243" bestFit="1" customWidth="1"/>
    <col min="9985" max="9985" width="12.6640625" style="243" bestFit="1" customWidth="1"/>
    <col min="9986" max="9986" width="17.5" style="243" bestFit="1" customWidth="1"/>
    <col min="9987" max="9987" width="11.33203125" style="243" bestFit="1" customWidth="1"/>
    <col min="9988" max="9988" width="15.5" style="243" customWidth="1"/>
    <col min="9989" max="9989" width="16.5" style="243" bestFit="1" customWidth="1"/>
    <col min="9990" max="9990" width="12.33203125" style="243" bestFit="1" customWidth="1"/>
    <col min="9991" max="9991" width="15" style="243" customWidth="1"/>
    <col min="9992" max="9992" width="15.6640625" style="243" bestFit="1" customWidth="1"/>
    <col min="9993" max="9993" width="14.33203125" style="243" bestFit="1" customWidth="1"/>
    <col min="9994" max="9994" width="12.33203125" style="243" bestFit="1" customWidth="1"/>
    <col min="9995" max="9995" width="26.6640625" style="243" bestFit="1" customWidth="1"/>
    <col min="9996" max="9996" width="52.1640625" style="243" customWidth="1"/>
    <col min="9997" max="9998" width="31.5" style="243" customWidth="1"/>
    <col min="9999" max="10239" width="8.83203125" style="243"/>
    <col min="10240" max="10240" width="12.33203125" style="243" bestFit="1" customWidth="1"/>
    <col min="10241" max="10241" width="12.6640625" style="243" bestFit="1" customWidth="1"/>
    <col min="10242" max="10242" width="17.5" style="243" bestFit="1" customWidth="1"/>
    <col min="10243" max="10243" width="11.33203125" style="243" bestFit="1" customWidth="1"/>
    <col min="10244" max="10244" width="15.5" style="243" customWidth="1"/>
    <col min="10245" max="10245" width="16.5" style="243" bestFit="1" customWidth="1"/>
    <col min="10246" max="10246" width="12.33203125" style="243" bestFit="1" customWidth="1"/>
    <col min="10247" max="10247" width="15" style="243" customWidth="1"/>
    <col min="10248" max="10248" width="15.6640625" style="243" bestFit="1" customWidth="1"/>
    <col min="10249" max="10249" width="14.33203125" style="243" bestFit="1" customWidth="1"/>
    <col min="10250" max="10250" width="12.33203125" style="243" bestFit="1" customWidth="1"/>
    <col min="10251" max="10251" width="26.6640625" style="243" bestFit="1" customWidth="1"/>
    <col min="10252" max="10252" width="52.1640625" style="243" customWidth="1"/>
    <col min="10253" max="10254" width="31.5" style="243" customWidth="1"/>
    <col min="10255" max="10495" width="8.83203125" style="243"/>
    <col min="10496" max="10496" width="12.33203125" style="243" bestFit="1" customWidth="1"/>
    <col min="10497" max="10497" width="12.6640625" style="243" bestFit="1" customWidth="1"/>
    <col min="10498" max="10498" width="17.5" style="243" bestFit="1" customWidth="1"/>
    <col min="10499" max="10499" width="11.33203125" style="243" bestFit="1" customWidth="1"/>
    <col min="10500" max="10500" width="15.5" style="243" customWidth="1"/>
    <col min="10501" max="10501" width="16.5" style="243" bestFit="1" customWidth="1"/>
    <col min="10502" max="10502" width="12.33203125" style="243" bestFit="1" customWidth="1"/>
    <col min="10503" max="10503" width="15" style="243" customWidth="1"/>
    <col min="10504" max="10504" width="15.6640625" style="243" bestFit="1" customWidth="1"/>
    <col min="10505" max="10505" width="14.33203125" style="243" bestFit="1" customWidth="1"/>
    <col min="10506" max="10506" width="12.33203125" style="243" bestFit="1" customWidth="1"/>
    <col min="10507" max="10507" width="26.6640625" style="243" bestFit="1" customWidth="1"/>
    <col min="10508" max="10508" width="52.1640625" style="243" customWidth="1"/>
    <col min="10509" max="10510" width="31.5" style="243" customWidth="1"/>
    <col min="10511" max="10751" width="8.83203125" style="243"/>
    <col min="10752" max="10752" width="12.33203125" style="243" bestFit="1" customWidth="1"/>
    <col min="10753" max="10753" width="12.6640625" style="243" bestFit="1" customWidth="1"/>
    <col min="10754" max="10754" width="17.5" style="243" bestFit="1" customWidth="1"/>
    <col min="10755" max="10755" width="11.33203125" style="243" bestFit="1" customWidth="1"/>
    <col min="10756" max="10756" width="15.5" style="243" customWidth="1"/>
    <col min="10757" max="10757" width="16.5" style="243" bestFit="1" customWidth="1"/>
    <col min="10758" max="10758" width="12.33203125" style="243" bestFit="1" customWidth="1"/>
    <col min="10759" max="10759" width="15" style="243" customWidth="1"/>
    <col min="10760" max="10760" width="15.6640625" style="243" bestFit="1" customWidth="1"/>
    <col min="10761" max="10761" width="14.33203125" style="243" bestFit="1" customWidth="1"/>
    <col min="10762" max="10762" width="12.33203125" style="243" bestFit="1" customWidth="1"/>
    <col min="10763" max="10763" width="26.6640625" style="243" bestFit="1" customWidth="1"/>
    <col min="10764" max="10764" width="52.1640625" style="243" customWidth="1"/>
    <col min="10765" max="10766" width="31.5" style="243" customWidth="1"/>
    <col min="10767" max="11007" width="8.83203125" style="243"/>
    <col min="11008" max="11008" width="12.33203125" style="243" bestFit="1" customWidth="1"/>
    <col min="11009" max="11009" width="12.6640625" style="243" bestFit="1" customWidth="1"/>
    <col min="11010" max="11010" width="17.5" style="243" bestFit="1" customWidth="1"/>
    <col min="11011" max="11011" width="11.33203125" style="243" bestFit="1" customWidth="1"/>
    <col min="11012" max="11012" width="15.5" style="243" customWidth="1"/>
    <col min="11013" max="11013" width="16.5" style="243" bestFit="1" customWidth="1"/>
    <col min="11014" max="11014" width="12.33203125" style="243" bestFit="1" customWidth="1"/>
    <col min="11015" max="11015" width="15" style="243" customWidth="1"/>
    <col min="11016" max="11016" width="15.6640625" style="243" bestFit="1" customWidth="1"/>
    <col min="11017" max="11017" width="14.33203125" style="243" bestFit="1" customWidth="1"/>
    <col min="11018" max="11018" width="12.33203125" style="243" bestFit="1" customWidth="1"/>
    <col min="11019" max="11019" width="26.6640625" style="243" bestFit="1" customWidth="1"/>
    <col min="11020" max="11020" width="52.1640625" style="243" customWidth="1"/>
    <col min="11021" max="11022" width="31.5" style="243" customWidth="1"/>
    <col min="11023" max="11263" width="8.83203125" style="243"/>
    <col min="11264" max="11264" width="12.33203125" style="243" bestFit="1" customWidth="1"/>
    <col min="11265" max="11265" width="12.6640625" style="243" bestFit="1" customWidth="1"/>
    <col min="11266" max="11266" width="17.5" style="243" bestFit="1" customWidth="1"/>
    <col min="11267" max="11267" width="11.33203125" style="243" bestFit="1" customWidth="1"/>
    <col min="11268" max="11268" width="15.5" style="243" customWidth="1"/>
    <col min="11269" max="11269" width="16.5" style="243" bestFit="1" customWidth="1"/>
    <col min="11270" max="11270" width="12.33203125" style="243" bestFit="1" customWidth="1"/>
    <col min="11271" max="11271" width="15" style="243" customWidth="1"/>
    <col min="11272" max="11272" width="15.6640625" style="243" bestFit="1" customWidth="1"/>
    <col min="11273" max="11273" width="14.33203125" style="243" bestFit="1" customWidth="1"/>
    <col min="11274" max="11274" width="12.33203125" style="243" bestFit="1" customWidth="1"/>
    <col min="11275" max="11275" width="26.6640625" style="243" bestFit="1" customWidth="1"/>
    <col min="11276" max="11276" width="52.1640625" style="243" customWidth="1"/>
    <col min="11277" max="11278" width="31.5" style="243" customWidth="1"/>
    <col min="11279" max="11519" width="8.83203125" style="243"/>
    <col min="11520" max="11520" width="12.33203125" style="243" bestFit="1" customWidth="1"/>
    <col min="11521" max="11521" width="12.6640625" style="243" bestFit="1" customWidth="1"/>
    <col min="11522" max="11522" width="17.5" style="243" bestFit="1" customWidth="1"/>
    <col min="11523" max="11523" width="11.33203125" style="243" bestFit="1" customWidth="1"/>
    <col min="11524" max="11524" width="15.5" style="243" customWidth="1"/>
    <col min="11525" max="11525" width="16.5" style="243" bestFit="1" customWidth="1"/>
    <col min="11526" max="11526" width="12.33203125" style="243" bestFit="1" customWidth="1"/>
    <col min="11527" max="11527" width="15" style="243" customWidth="1"/>
    <col min="11528" max="11528" width="15.6640625" style="243" bestFit="1" customWidth="1"/>
    <col min="11529" max="11529" width="14.33203125" style="243" bestFit="1" customWidth="1"/>
    <col min="11530" max="11530" width="12.33203125" style="243" bestFit="1" customWidth="1"/>
    <col min="11531" max="11531" width="26.6640625" style="243" bestFit="1" customWidth="1"/>
    <col min="11532" max="11532" width="52.1640625" style="243" customWidth="1"/>
    <col min="11533" max="11534" width="31.5" style="243" customWidth="1"/>
    <col min="11535" max="11775" width="8.83203125" style="243"/>
    <col min="11776" max="11776" width="12.33203125" style="243" bestFit="1" customWidth="1"/>
    <col min="11777" max="11777" width="12.6640625" style="243" bestFit="1" customWidth="1"/>
    <col min="11778" max="11778" width="17.5" style="243" bestFit="1" customWidth="1"/>
    <col min="11779" max="11779" width="11.33203125" style="243" bestFit="1" customWidth="1"/>
    <col min="11780" max="11780" width="15.5" style="243" customWidth="1"/>
    <col min="11781" max="11781" width="16.5" style="243" bestFit="1" customWidth="1"/>
    <col min="11782" max="11782" width="12.33203125" style="243" bestFit="1" customWidth="1"/>
    <col min="11783" max="11783" width="15" style="243" customWidth="1"/>
    <col min="11784" max="11784" width="15.6640625" style="243" bestFit="1" customWidth="1"/>
    <col min="11785" max="11785" width="14.33203125" style="243" bestFit="1" customWidth="1"/>
    <col min="11786" max="11786" width="12.33203125" style="243" bestFit="1" customWidth="1"/>
    <col min="11787" max="11787" width="26.6640625" style="243" bestFit="1" customWidth="1"/>
    <col min="11788" max="11788" width="52.1640625" style="243" customWidth="1"/>
    <col min="11789" max="11790" width="31.5" style="243" customWidth="1"/>
    <col min="11791" max="12031" width="8.83203125" style="243"/>
    <col min="12032" max="12032" width="12.33203125" style="243" bestFit="1" customWidth="1"/>
    <col min="12033" max="12033" width="12.6640625" style="243" bestFit="1" customWidth="1"/>
    <col min="12034" max="12034" width="17.5" style="243" bestFit="1" customWidth="1"/>
    <col min="12035" max="12035" width="11.33203125" style="243" bestFit="1" customWidth="1"/>
    <col min="12036" max="12036" width="15.5" style="243" customWidth="1"/>
    <col min="12037" max="12037" width="16.5" style="243" bestFit="1" customWidth="1"/>
    <col min="12038" max="12038" width="12.33203125" style="243" bestFit="1" customWidth="1"/>
    <col min="12039" max="12039" width="15" style="243" customWidth="1"/>
    <col min="12040" max="12040" width="15.6640625" style="243" bestFit="1" customWidth="1"/>
    <col min="12041" max="12041" width="14.33203125" style="243" bestFit="1" customWidth="1"/>
    <col min="12042" max="12042" width="12.33203125" style="243" bestFit="1" customWidth="1"/>
    <col min="12043" max="12043" width="26.6640625" style="243" bestFit="1" customWidth="1"/>
    <col min="12044" max="12044" width="52.1640625" style="243" customWidth="1"/>
    <col min="12045" max="12046" width="31.5" style="243" customWidth="1"/>
    <col min="12047" max="12287" width="8.83203125" style="243"/>
    <col min="12288" max="12288" width="12.33203125" style="243" bestFit="1" customWidth="1"/>
    <col min="12289" max="12289" width="12.6640625" style="243" bestFit="1" customWidth="1"/>
    <col min="12290" max="12290" width="17.5" style="243" bestFit="1" customWidth="1"/>
    <col min="12291" max="12291" width="11.33203125" style="243" bestFit="1" customWidth="1"/>
    <col min="12292" max="12292" width="15.5" style="243" customWidth="1"/>
    <col min="12293" max="12293" width="16.5" style="243" bestFit="1" customWidth="1"/>
    <col min="12294" max="12294" width="12.33203125" style="243" bestFit="1" customWidth="1"/>
    <col min="12295" max="12295" width="15" style="243" customWidth="1"/>
    <col min="12296" max="12296" width="15.6640625" style="243" bestFit="1" customWidth="1"/>
    <col min="12297" max="12297" width="14.33203125" style="243" bestFit="1" customWidth="1"/>
    <col min="12298" max="12298" width="12.33203125" style="243" bestFit="1" customWidth="1"/>
    <col min="12299" max="12299" width="26.6640625" style="243" bestFit="1" customWidth="1"/>
    <col min="12300" max="12300" width="52.1640625" style="243" customWidth="1"/>
    <col min="12301" max="12302" width="31.5" style="243" customWidth="1"/>
    <col min="12303" max="12543" width="8.83203125" style="243"/>
    <col min="12544" max="12544" width="12.33203125" style="243" bestFit="1" customWidth="1"/>
    <col min="12545" max="12545" width="12.6640625" style="243" bestFit="1" customWidth="1"/>
    <col min="12546" max="12546" width="17.5" style="243" bestFit="1" customWidth="1"/>
    <col min="12547" max="12547" width="11.33203125" style="243" bestFit="1" customWidth="1"/>
    <col min="12548" max="12548" width="15.5" style="243" customWidth="1"/>
    <col min="12549" max="12549" width="16.5" style="243" bestFit="1" customWidth="1"/>
    <col min="12550" max="12550" width="12.33203125" style="243" bestFit="1" customWidth="1"/>
    <col min="12551" max="12551" width="15" style="243" customWidth="1"/>
    <col min="12552" max="12552" width="15.6640625" style="243" bestFit="1" customWidth="1"/>
    <col min="12553" max="12553" width="14.33203125" style="243" bestFit="1" customWidth="1"/>
    <col min="12554" max="12554" width="12.33203125" style="243" bestFit="1" customWidth="1"/>
    <col min="12555" max="12555" width="26.6640625" style="243" bestFit="1" customWidth="1"/>
    <col min="12556" max="12556" width="52.1640625" style="243" customWidth="1"/>
    <col min="12557" max="12558" width="31.5" style="243" customWidth="1"/>
    <col min="12559" max="12799" width="8.83203125" style="243"/>
    <col min="12800" max="12800" width="12.33203125" style="243" bestFit="1" customWidth="1"/>
    <col min="12801" max="12801" width="12.6640625" style="243" bestFit="1" customWidth="1"/>
    <col min="12802" max="12802" width="17.5" style="243" bestFit="1" customWidth="1"/>
    <col min="12803" max="12803" width="11.33203125" style="243" bestFit="1" customWidth="1"/>
    <col min="12804" max="12804" width="15.5" style="243" customWidth="1"/>
    <col min="12805" max="12805" width="16.5" style="243" bestFit="1" customWidth="1"/>
    <col min="12806" max="12806" width="12.33203125" style="243" bestFit="1" customWidth="1"/>
    <col min="12807" max="12807" width="15" style="243" customWidth="1"/>
    <col min="12808" max="12808" width="15.6640625" style="243" bestFit="1" customWidth="1"/>
    <col min="12809" max="12809" width="14.33203125" style="243" bestFit="1" customWidth="1"/>
    <col min="12810" max="12810" width="12.33203125" style="243" bestFit="1" customWidth="1"/>
    <col min="12811" max="12811" width="26.6640625" style="243" bestFit="1" customWidth="1"/>
    <col min="12812" max="12812" width="52.1640625" style="243" customWidth="1"/>
    <col min="12813" max="12814" width="31.5" style="243" customWidth="1"/>
    <col min="12815" max="13055" width="8.83203125" style="243"/>
    <col min="13056" max="13056" width="12.33203125" style="243" bestFit="1" customWidth="1"/>
    <col min="13057" max="13057" width="12.6640625" style="243" bestFit="1" customWidth="1"/>
    <col min="13058" max="13058" width="17.5" style="243" bestFit="1" customWidth="1"/>
    <col min="13059" max="13059" width="11.33203125" style="243" bestFit="1" customWidth="1"/>
    <col min="13060" max="13060" width="15.5" style="243" customWidth="1"/>
    <col min="13061" max="13061" width="16.5" style="243" bestFit="1" customWidth="1"/>
    <col min="13062" max="13062" width="12.33203125" style="243" bestFit="1" customWidth="1"/>
    <col min="13063" max="13063" width="15" style="243" customWidth="1"/>
    <col min="13064" max="13064" width="15.6640625" style="243" bestFit="1" customWidth="1"/>
    <col min="13065" max="13065" width="14.33203125" style="243" bestFit="1" customWidth="1"/>
    <col min="13066" max="13066" width="12.33203125" style="243" bestFit="1" customWidth="1"/>
    <col min="13067" max="13067" width="26.6640625" style="243" bestFit="1" customWidth="1"/>
    <col min="13068" max="13068" width="52.1640625" style="243" customWidth="1"/>
    <col min="13069" max="13070" width="31.5" style="243" customWidth="1"/>
    <col min="13071" max="13311" width="8.83203125" style="243"/>
    <col min="13312" max="13312" width="12.33203125" style="243" bestFit="1" customWidth="1"/>
    <col min="13313" max="13313" width="12.6640625" style="243" bestFit="1" customWidth="1"/>
    <col min="13314" max="13314" width="17.5" style="243" bestFit="1" customWidth="1"/>
    <col min="13315" max="13315" width="11.33203125" style="243" bestFit="1" customWidth="1"/>
    <col min="13316" max="13316" width="15.5" style="243" customWidth="1"/>
    <col min="13317" max="13317" width="16.5" style="243" bestFit="1" customWidth="1"/>
    <col min="13318" max="13318" width="12.33203125" style="243" bestFit="1" customWidth="1"/>
    <col min="13319" max="13319" width="15" style="243" customWidth="1"/>
    <col min="13320" max="13320" width="15.6640625" style="243" bestFit="1" customWidth="1"/>
    <col min="13321" max="13321" width="14.33203125" style="243" bestFit="1" customWidth="1"/>
    <col min="13322" max="13322" width="12.33203125" style="243" bestFit="1" customWidth="1"/>
    <col min="13323" max="13323" width="26.6640625" style="243" bestFit="1" customWidth="1"/>
    <col min="13324" max="13324" width="52.1640625" style="243" customWidth="1"/>
    <col min="13325" max="13326" width="31.5" style="243" customWidth="1"/>
    <col min="13327" max="13567" width="8.83203125" style="243"/>
    <col min="13568" max="13568" width="12.33203125" style="243" bestFit="1" customWidth="1"/>
    <col min="13569" max="13569" width="12.6640625" style="243" bestFit="1" customWidth="1"/>
    <col min="13570" max="13570" width="17.5" style="243" bestFit="1" customWidth="1"/>
    <col min="13571" max="13571" width="11.33203125" style="243" bestFit="1" customWidth="1"/>
    <col min="13572" max="13572" width="15.5" style="243" customWidth="1"/>
    <col min="13573" max="13573" width="16.5" style="243" bestFit="1" customWidth="1"/>
    <col min="13574" max="13574" width="12.33203125" style="243" bestFit="1" customWidth="1"/>
    <col min="13575" max="13575" width="15" style="243" customWidth="1"/>
    <col min="13576" max="13576" width="15.6640625" style="243" bestFit="1" customWidth="1"/>
    <col min="13577" max="13577" width="14.33203125" style="243" bestFit="1" customWidth="1"/>
    <col min="13578" max="13578" width="12.33203125" style="243" bestFit="1" customWidth="1"/>
    <col min="13579" max="13579" width="26.6640625" style="243" bestFit="1" customWidth="1"/>
    <col min="13580" max="13580" width="52.1640625" style="243" customWidth="1"/>
    <col min="13581" max="13582" width="31.5" style="243" customWidth="1"/>
    <col min="13583" max="13823" width="8.83203125" style="243"/>
    <col min="13824" max="13824" width="12.33203125" style="243" bestFit="1" customWidth="1"/>
    <col min="13825" max="13825" width="12.6640625" style="243" bestFit="1" customWidth="1"/>
    <col min="13826" max="13826" width="17.5" style="243" bestFit="1" customWidth="1"/>
    <col min="13827" max="13827" width="11.33203125" style="243" bestFit="1" customWidth="1"/>
    <col min="13828" max="13828" width="15.5" style="243" customWidth="1"/>
    <col min="13829" max="13829" width="16.5" style="243" bestFit="1" customWidth="1"/>
    <col min="13830" max="13830" width="12.33203125" style="243" bestFit="1" customWidth="1"/>
    <col min="13831" max="13831" width="15" style="243" customWidth="1"/>
    <col min="13832" max="13832" width="15.6640625" style="243" bestFit="1" customWidth="1"/>
    <col min="13833" max="13833" width="14.33203125" style="243" bestFit="1" customWidth="1"/>
    <col min="13834" max="13834" width="12.33203125" style="243" bestFit="1" customWidth="1"/>
    <col min="13835" max="13835" width="26.6640625" style="243" bestFit="1" customWidth="1"/>
    <col min="13836" max="13836" width="52.1640625" style="243" customWidth="1"/>
    <col min="13837" max="13838" width="31.5" style="243" customWidth="1"/>
    <col min="13839" max="14079" width="8.83203125" style="243"/>
    <col min="14080" max="14080" width="12.33203125" style="243" bestFit="1" customWidth="1"/>
    <col min="14081" max="14081" width="12.6640625" style="243" bestFit="1" customWidth="1"/>
    <col min="14082" max="14082" width="17.5" style="243" bestFit="1" customWidth="1"/>
    <col min="14083" max="14083" width="11.33203125" style="243" bestFit="1" customWidth="1"/>
    <col min="14084" max="14084" width="15.5" style="243" customWidth="1"/>
    <col min="14085" max="14085" width="16.5" style="243" bestFit="1" customWidth="1"/>
    <col min="14086" max="14086" width="12.33203125" style="243" bestFit="1" customWidth="1"/>
    <col min="14087" max="14087" width="15" style="243" customWidth="1"/>
    <col min="14088" max="14088" width="15.6640625" style="243" bestFit="1" customWidth="1"/>
    <col min="14089" max="14089" width="14.33203125" style="243" bestFit="1" customWidth="1"/>
    <col min="14090" max="14090" width="12.33203125" style="243" bestFit="1" customWidth="1"/>
    <col min="14091" max="14091" width="26.6640625" style="243" bestFit="1" customWidth="1"/>
    <col min="14092" max="14092" width="52.1640625" style="243" customWidth="1"/>
    <col min="14093" max="14094" width="31.5" style="243" customWidth="1"/>
    <col min="14095" max="14335" width="8.83203125" style="243"/>
    <col min="14336" max="14336" width="12.33203125" style="243" bestFit="1" customWidth="1"/>
    <col min="14337" max="14337" width="12.6640625" style="243" bestFit="1" customWidth="1"/>
    <col min="14338" max="14338" width="17.5" style="243" bestFit="1" customWidth="1"/>
    <col min="14339" max="14339" width="11.33203125" style="243" bestFit="1" customWidth="1"/>
    <col min="14340" max="14340" width="15.5" style="243" customWidth="1"/>
    <col min="14341" max="14341" width="16.5" style="243" bestFit="1" customWidth="1"/>
    <col min="14342" max="14342" width="12.33203125" style="243" bestFit="1" customWidth="1"/>
    <col min="14343" max="14343" width="15" style="243" customWidth="1"/>
    <col min="14344" max="14344" width="15.6640625" style="243" bestFit="1" customWidth="1"/>
    <col min="14345" max="14345" width="14.33203125" style="243" bestFit="1" customWidth="1"/>
    <col min="14346" max="14346" width="12.33203125" style="243" bestFit="1" customWidth="1"/>
    <col min="14347" max="14347" width="26.6640625" style="243" bestFit="1" customWidth="1"/>
    <col min="14348" max="14348" width="52.1640625" style="243" customWidth="1"/>
    <col min="14349" max="14350" width="31.5" style="243" customWidth="1"/>
    <col min="14351" max="14591" width="8.83203125" style="243"/>
    <col min="14592" max="14592" width="12.33203125" style="243" bestFit="1" customWidth="1"/>
    <col min="14593" max="14593" width="12.6640625" style="243" bestFit="1" customWidth="1"/>
    <col min="14594" max="14594" width="17.5" style="243" bestFit="1" customWidth="1"/>
    <col min="14595" max="14595" width="11.33203125" style="243" bestFit="1" customWidth="1"/>
    <col min="14596" max="14596" width="15.5" style="243" customWidth="1"/>
    <col min="14597" max="14597" width="16.5" style="243" bestFit="1" customWidth="1"/>
    <col min="14598" max="14598" width="12.33203125" style="243" bestFit="1" customWidth="1"/>
    <col min="14599" max="14599" width="15" style="243" customWidth="1"/>
    <col min="14600" max="14600" width="15.6640625" style="243" bestFit="1" customWidth="1"/>
    <col min="14601" max="14601" width="14.33203125" style="243" bestFit="1" customWidth="1"/>
    <col min="14602" max="14602" width="12.33203125" style="243" bestFit="1" customWidth="1"/>
    <col min="14603" max="14603" width="26.6640625" style="243" bestFit="1" customWidth="1"/>
    <col min="14604" max="14604" width="52.1640625" style="243" customWidth="1"/>
    <col min="14605" max="14606" width="31.5" style="243" customWidth="1"/>
    <col min="14607" max="14847" width="8.83203125" style="243"/>
    <col min="14848" max="14848" width="12.33203125" style="243" bestFit="1" customWidth="1"/>
    <col min="14849" max="14849" width="12.6640625" style="243" bestFit="1" customWidth="1"/>
    <col min="14850" max="14850" width="17.5" style="243" bestFit="1" customWidth="1"/>
    <col min="14851" max="14851" width="11.33203125" style="243" bestFit="1" customWidth="1"/>
    <col min="14852" max="14852" width="15.5" style="243" customWidth="1"/>
    <col min="14853" max="14853" width="16.5" style="243" bestFit="1" customWidth="1"/>
    <col min="14854" max="14854" width="12.33203125" style="243" bestFit="1" customWidth="1"/>
    <col min="14855" max="14855" width="15" style="243" customWidth="1"/>
    <col min="14856" max="14856" width="15.6640625" style="243" bestFit="1" customWidth="1"/>
    <col min="14857" max="14857" width="14.33203125" style="243" bestFit="1" customWidth="1"/>
    <col min="14858" max="14858" width="12.33203125" style="243" bestFit="1" customWidth="1"/>
    <col min="14859" max="14859" width="26.6640625" style="243" bestFit="1" customWidth="1"/>
    <col min="14860" max="14860" width="52.1640625" style="243" customWidth="1"/>
    <col min="14861" max="14862" width="31.5" style="243" customWidth="1"/>
    <col min="14863" max="15103" width="8.83203125" style="243"/>
    <col min="15104" max="15104" width="12.33203125" style="243" bestFit="1" customWidth="1"/>
    <col min="15105" max="15105" width="12.6640625" style="243" bestFit="1" customWidth="1"/>
    <col min="15106" max="15106" width="17.5" style="243" bestFit="1" customWidth="1"/>
    <col min="15107" max="15107" width="11.33203125" style="243" bestFit="1" customWidth="1"/>
    <col min="15108" max="15108" width="15.5" style="243" customWidth="1"/>
    <col min="15109" max="15109" width="16.5" style="243" bestFit="1" customWidth="1"/>
    <col min="15110" max="15110" width="12.33203125" style="243" bestFit="1" customWidth="1"/>
    <col min="15111" max="15111" width="15" style="243" customWidth="1"/>
    <col min="15112" max="15112" width="15.6640625" style="243" bestFit="1" customWidth="1"/>
    <col min="15113" max="15113" width="14.33203125" style="243" bestFit="1" customWidth="1"/>
    <col min="15114" max="15114" width="12.33203125" style="243" bestFit="1" customWidth="1"/>
    <col min="15115" max="15115" width="26.6640625" style="243" bestFit="1" customWidth="1"/>
    <col min="15116" max="15116" width="52.1640625" style="243" customWidth="1"/>
    <col min="15117" max="15118" width="31.5" style="243" customWidth="1"/>
    <col min="15119" max="15359" width="8.83203125" style="243"/>
    <col min="15360" max="15360" width="12.33203125" style="243" bestFit="1" customWidth="1"/>
    <col min="15361" max="15361" width="12.6640625" style="243" bestFit="1" customWidth="1"/>
    <col min="15362" max="15362" width="17.5" style="243" bestFit="1" customWidth="1"/>
    <col min="15363" max="15363" width="11.33203125" style="243" bestFit="1" customWidth="1"/>
    <col min="15364" max="15364" width="15.5" style="243" customWidth="1"/>
    <col min="15365" max="15365" width="16.5" style="243" bestFit="1" customWidth="1"/>
    <col min="15366" max="15366" width="12.33203125" style="243" bestFit="1" customWidth="1"/>
    <col min="15367" max="15367" width="15" style="243" customWidth="1"/>
    <col min="15368" max="15368" width="15.6640625" style="243" bestFit="1" customWidth="1"/>
    <col min="15369" max="15369" width="14.33203125" style="243" bestFit="1" customWidth="1"/>
    <col min="15370" max="15370" width="12.33203125" style="243" bestFit="1" customWidth="1"/>
    <col min="15371" max="15371" width="26.6640625" style="243" bestFit="1" customWidth="1"/>
    <col min="15372" max="15372" width="52.1640625" style="243" customWidth="1"/>
    <col min="15373" max="15374" width="31.5" style="243" customWidth="1"/>
    <col min="15375" max="15615" width="8.83203125" style="243"/>
    <col min="15616" max="15616" width="12.33203125" style="243" bestFit="1" customWidth="1"/>
    <col min="15617" max="15617" width="12.6640625" style="243" bestFit="1" customWidth="1"/>
    <col min="15618" max="15618" width="17.5" style="243" bestFit="1" customWidth="1"/>
    <col min="15619" max="15619" width="11.33203125" style="243" bestFit="1" customWidth="1"/>
    <col min="15620" max="15620" width="15.5" style="243" customWidth="1"/>
    <col min="15621" max="15621" width="16.5" style="243" bestFit="1" customWidth="1"/>
    <col min="15622" max="15622" width="12.33203125" style="243" bestFit="1" customWidth="1"/>
    <col min="15623" max="15623" width="15" style="243" customWidth="1"/>
    <col min="15624" max="15624" width="15.6640625" style="243" bestFit="1" customWidth="1"/>
    <col min="15625" max="15625" width="14.33203125" style="243" bestFit="1" customWidth="1"/>
    <col min="15626" max="15626" width="12.33203125" style="243" bestFit="1" customWidth="1"/>
    <col min="15627" max="15627" width="26.6640625" style="243" bestFit="1" customWidth="1"/>
    <col min="15628" max="15628" width="52.1640625" style="243" customWidth="1"/>
    <col min="15629" max="15630" width="31.5" style="243" customWidth="1"/>
    <col min="15631" max="15871" width="8.83203125" style="243"/>
    <col min="15872" max="15872" width="12.33203125" style="243" bestFit="1" customWidth="1"/>
    <col min="15873" max="15873" width="12.6640625" style="243" bestFit="1" customWidth="1"/>
    <col min="15874" max="15874" width="17.5" style="243" bestFit="1" customWidth="1"/>
    <col min="15875" max="15875" width="11.33203125" style="243" bestFit="1" customWidth="1"/>
    <col min="15876" max="15876" width="15.5" style="243" customWidth="1"/>
    <col min="15877" max="15877" width="16.5" style="243" bestFit="1" customWidth="1"/>
    <col min="15878" max="15878" width="12.33203125" style="243" bestFit="1" customWidth="1"/>
    <col min="15879" max="15879" width="15" style="243" customWidth="1"/>
    <col min="15880" max="15880" width="15.6640625" style="243" bestFit="1" customWidth="1"/>
    <col min="15881" max="15881" width="14.33203125" style="243" bestFit="1" customWidth="1"/>
    <col min="15882" max="15882" width="12.33203125" style="243" bestFit="1" customWidth="1"/>
    <col min="15883" max="15883" width="26.6640625" style="243" bestFit="1" customWidth="1"/>
    <col min="15884" max="15884" width="52.1640625" style="243" customWidth="1"/>
    <col min="15885" max="15886" width="31.5" style="243" customWidth="1"/>
    <col min="15887" max="16127" width="8.83203125" style="243"/>
    <col min="16128" max="16128" width="12.33203125" style="243" bestFit="1" customWidth="1"/>
    <col min="16129" max="16129" width="12.6640625" style="243" bestFit="1" customWidth="1"/>
    <col min="16130" max="16130" width="17.5" style="243" bestFit="1" customWidth="1"/>
    <col min="16131" max="16131" width="11.33203125" style="243" bestFit="1" customWidth="1"/>
    <col min="16132" max="16132" width="15.5" style="243" customWidth="1"/>
    <col min="16133" max="16133" width="16.5" style="243" bestFit="1" customWidth="1"/>
    <col min="16134" max="16134" width="12.33203125" style="243" bestFit="1" customWidth="1"/>
    <col min="16135" max="16135" width="15" style="243" customWidth="1"/>
    <col min="16136" max="16136" width="15.6640625" style="243" bestFit="1" customWidth="1"/>
    <col min="16137" max="16137" width="14.33203125" style="243" bestFit="1" customWidth="1"/>
    <col min="16138" max="16138" width="12.33203125" style="243" bestFit="1" customWidth="1"/>
    <col min="16139" max="16139" width="26.6640625" style="243" bestFit="1" customWidth="1"/>
    <col min="16140" max="16140" width="52.1640625" style="243" customWidth="1"/>
    <col min="16141" max="16142" width="31.5" style="243" customWidth="1"/>
    <col min="16143" max="16384" width="8.83203125" style="243"/>
  </cols>
  <sheetData>
    <row r="1" spans="1:12" ht="25" customHeight="1">
      <c r="A1" s="863" t="s">
        <v>1195</v>
      </c>
      <c r="B1" s="863"/>
      <c r="C1" s="863"/>
      <c r="D1" s="863"/>
      <c r="E1" s="863"/>
      <c r="F1" s="863"/>
      <c r="G1" s="863"/>
      <c r="H1" s="863"/>
      <c r="I1" s="863"/>
      <c r="J1" s="759" t="s">
        <v>289</v>
      </c>
      <c r="K1" s="758" t="s">
        <v>1229</v>
      </c>
    </row>
    <row r="2" spans="1:12" ht="63" customHeight="1">
      <c r="A2" s="241" t="s">
        <v>400</v>
      </c>
      <c r="B2" s="241" t="s">
        <v>401</v>
      </c>
      <c r="C2" s="241" t="s">
        <v>402</v>
      </c>
      <c r="D2" s="241" t="s">
        <v>403</v>
      </c>
      <c r="E2" s="468" t="s">
        <v>404</v>
      </c>
      <c r="F2" s="241" t="s">
        <v>405</v>
      </c>
      <c r="G2" s="241" t="s">
        <v>406</v>
      </c>
      <c r="H2" s="241" t="s">
        <v>407</v>
      </c>
      <c r="I2" s="241" t="s">
        <v>408</v>
      </c>
      <c r="J2" s="241" t="s">
        <v>400</v>
      </c>
      <c r="K2" s="242" t="s">
        <v>376</v>
      </c>
    </row>
    <row r="3" spans="1:12" ht="34">
      <c r="A3" s="241" t="s">
        <v>705</v>
      </c>
      <c r="B3" s="241" t="s">
        <v>409</v>
      </c>
      <c r="C3" s="241" t="s">
        <v>410</v>
      </c>
      <c r="D3" s="241" t="s">
        <v>411</v>
      </c>
      <c r="E3" s="241" t="s">
        <v>412</v>
      </c>
      <c r="F3" s="241" t="s">
        <v>226</v>
      </c>
      <c r="G3" s="241" t="s">
        <v>226</v>
      </c>
      <c r="H3" s="241" t="s">
        <v>413</v>
      </c>
      <c r="I3" s="241" t="s">
        <v>414</v>
      </c>
      <c r="J3" s="241" t="s">
        <v>415</v>
      </c>
      <c r="K3" s="242" t="s">
        <v>749</v>
      </c>
    </row>
    <row r="4" spans="1:12" ht="17">
      <c r="A4" s="244" t="s">
        <v>416</v>
      </c>
      <c r="B4" s="245">
        <f>'23-4_4 ЦК'!B191</f>
        <v>2349.6379838709681</v>
      </c>
      <c r="C4" s="245">
        <f>'23-4_4 ЦК'!D303</f>
        <v>1177528.28</v>
      </c>
      <c r="D4" s="245">
        <f>'23-4_4 ЦК'!H297</f>
        <v>871272.14</v>
      </c>
      <c r="E4" s="245">
        <f>0.57971*1000</f>
        <v>579.70999999999992</v>
      </c>
      <c r="F4" s="245">
        <f>G4*1.1</f>
        <v>7.8200979999999998</v>
      </c>
      <c r="G4" s="760">
        <f>'23_Эл-Эн'!C25/1000</f>
        <v>7.1091799999999994</v>
      </c>
      <c r="H4" s="245">
        <f>G4*330*24/12</f>
        <v>4692.0587999999998</v>
      </c>
      <c r="I4" s="246">
        <f>H4*(B4+E4)+C4*G4+G4*D4</f>
        <v>28309963.955839634</v>
      </c>
      <c r="J4" s="246">
        <f>I4/H4</f>
        <v>6033.5910444770288</v>
      </c>
      <c r="K4" s="239" t="s">
        <v>748</v>
      </c>
      <c r="L4" s="247"/>
    </row>
    <row r="5" spans="1:12">
      <c r="L5" s="247"/>
    </row>
  </sheetData>
  <mergeCells count="1">
    <mergeCell ref="A1:I1"/>
  </mergeCells>
  <hyperlinks>
    <hyperlink ref="K4" r:id="rId1" xr:uid="{0C1B692A-21CF-D64E-83F9-DE9A22422878}"/>
  </hyperlinks>
  <pageMargins left="0.7" right="0.7" top="0.75" bottom="0.75" header="0.3" footer="0.3"/>
  <pageSetup paperSize="9" orientation="landscape" horizontalDpi="0" verticalDpi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0182B-6B14-C143-BFDE-176479C8AA44}">
  <dimension ref="A1:Z453"/>
  <sheetViews>
    <sheetView showGridLines="0" view="pageBreakPreview" zoomScale="90" zoomScaleNormal="64" zoomScaleSheetLayoutView="90" workbookViewId="0">
      <selection activeCell="L142" sqref="L142"/>
    </sheetView>
  </sheetViews>
  <sheetFormatPr baseColWidth="10" defaultColWidth="11.5" defaultRowHeight="13"/>
  <cols>
    <col min="1" max="16384" width="11.5" style="485"/>
  </cols>
  <sheetData>
    <row r="1" spans="1:26" s="484" customFormat="1" ht="16">
      <c r="B1" s="867" t="s">
        <v>707</v>
      </c>
      <c r="C1" s="867"/>
      <c r="D1" s="867"/>
      <c r="E1" s="867"/>
      <c r="F1" s="867"/>
      <c r="G1" s="867"/>
      <c r="H1" s="867"/>
      <c r="I1" s="867"/>
      <c r="J1" s="867"/>
      <c r="K1" s="867"/>
      <c r="L1" s="867"/>
      <c r="M1" s="867"/>
      <c r="N1" s="867"/>
      <c r="O1" s="867"/>
      <c r="P1" s="867"/>
      <c r="Q1" s="867"/>
      <c r="R1" s="867"/>
      <c r="S1" s="867"/>
      <c r="T1" s="867"/>
      <c r="U1" s="867"/>
      <c r="V1" s="867"/>
      <c r="W1" s="867"/>
      <c r="X1" s="867"/>
      <c r="Y1" s="867"/>
    </row>
    <row r="2" spans="1:26" ht="18">
      <c r="B2" s="868" t="s">
        <v>708</v>
      </c>
      <c r="C2" s="868"/>
      <c r="D2" s="868"/>
      <c r="E2" s="868"/>
      <c r="F2" s="868"/>
      <c r="G2" s="868"/>
      <c r="H2" s="868"/>
      <c r="I2" s="868"/>
      <c r="J2" s="868"/>
      <c r="K2" s="868"/>
      <c r="L2" s="868"/>
      <c r="M2" s="868"/>
      <c r="N2" s="868"/>
      <c r="O2" s="868"/>
      <c r="P2" s="868"/>
      <c r="Q2" s="868"/>
      <c r="R2" s="868"/>
      <c r="S2" s="868"/>
      <c r="T2" s="868"/>
      <c r="U2" s="868"/>
      <c r="V2" s="868"/>
      <c r="W2" s="868"/>
      <c r="X2" s="868"/>
      <c r="Y2" s="868"/>
      <c r="Z2" s="868"/>
    </row>
    <row r="3" spans="1:26" s="486" customFormat="1" ht="25" customHeight="1">
      <c r="B3" s="869" t="s">
        <v>709</v>
      </c>
      <c r="C3" s="869"/>
      <c r="D3" s="869"/>
      <c r="E3" s="869"/>
      <c r="F3" s="869"/>
      <c r="G3" s="869"/>
      <c r="H3" s="869"/>
      <c r="I3" s="869"/>
      <c r="J3" s="869"/>
      <c r="K3" s="869"/>
      <c r="L3" s="869"/>
      <c r="M3" s="869"/>
      <c r="N3" s="869"/>
      <c r="O3" s="869"/>
      <c r="P3" s="869"/>
      <c r="Q3" s="869"/>
      <c r="R3" s="869"/>
      <c r="S3" s="869"/>
      <c r="T3" s="869"/>
      <c r="U3" s="869"/>
      <c r="V3" s="869"/>
      <c r="W3" s="869"/>
      <c r="X3" s="869"/>
      <c r="Y3" s="869"/>
      <c r="Z3" s="869"/>
    </row>
    <row r="4" spans="1:26" ht="25" customHeight="1">
      <c r="B4" s="870" t="s">
        <v>710</v>
      </c>
      <c r="C4" s="870"/>
      <c r="D4" s="870"/>
      <c r="E4" s="870"/>
      <c r="F4" s="870"/>
      <c r="G4" s="870"/>
      <c r="H4" s="870"/>
      <c r="I4" s="870"/>
      <c r="J4" s="870"/>
      <c r="K4" s="870"/>
      <c r="L4" s="870"/>
      <c r="M4" s="870"/>
      <c r="N4" s="870"/>
      <c r="O4" s="870"/>
      <c r="P4" s="870"/>
      <c r="Q4" s="870"/>
      <c r="R4" s="870"/>
      <c r="S4" s="870"/>
      <c r="T4" s="870"/>
      <c r="U4" s="870"/>
      <c r="V4" s="870"/>
      <c r="W4" s="870"/>
      <c r="X4" s="870"/>
      <c r="Y4" s="870"/>
      <c r="Z4" s="870"/>
    </row>
    <row r="5" spans="1:26" ht="19" customHeight="1">
      <c r="A5" s="487"/>
      <c r="B5" s="870"/>
      <c r="C5" s="870"/>
      <c r="D5" s="870"/>
      <c r="E5" s="870"/>
      <c r="F5" s="870"/>
      <c r="G5" s="870"/>
      <c r="H5" s="870"/>
      <c r="I5" s="870"/>
      <c r="J5" s="870"/>
      <c r="K5" s="870"/>
      <c r="L5" s="870"/>
      <c r="M5" s="870"/>
      <c r="N5" s="870"/>
      <c r="O5" s="870"/>
      <c r="P5" s="870"/>
      <c r="Q5" s="870"/>
      <c r="R5" s="870"/>
      <c r="S5" s="870"/>
      <c r="T5" s="870"/>
      <c r="U5" s="870"/>
      <c r="V5" s="870"/>
      <c r="W5" s="870"/>
      <c r="X5" s="870"/>
      <c r="Y5" s="870"/>
      <c r="Z5" s="870"/>
    </row>
    <row r="6" spans="1:26" ht="18">
      <c r="A6" s="487"/>
      <c r="B6" s="488"/>
      <c r="C6" s="489"/>
      <c r="D6" s="490"/>
      <c r="E6" s="489"/>
      <c r="F6" s="489"/>
      <c r="G6" s="489"/>
      <c r="H6" s="489"/>
      <c r="I6" s="489"/>
      <c r="J6" s="489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492"/>
    </row>
    <row r="7" spans="1:26" ht="16">
      <c r="A7" s="493"/>
      <c r="B7" s="493"/>
      <c r="C7" s="489"/>
      <c r="D7" s="489"/>
      <c r="E7" s="489"/>
      <c r="F7" s="489"/>
      <c r="G7" s="489"/>
      <c r="H7" s="489"/>
      <c r="I7" s="489"/>
      <c r="J7" s="489"/>
      <c r="K7" s="491"/>
      <c r="L7" s="491"/>
      <c r="M7" s="491"/>
      <c r="N7" s="491"/>
      <c r="O7" s="491"/>
      <c r="P7" s="491"/>
      <c r="Q7" s="491"/>
      <c r="R7" s="491"/>
      <c r="S7" s="491"/>
      <c r="T7" s="491"/>
      <c r="U7" s="491"/>
      <c r="V7" s="491"/>
      <c r="W7" s="491"/>
      <c r="X7" s="491"/>
      <c r="Y7" s="493"/>
      <c r="Z7" s="494"/>
    </row>
    <row r="8" spans="1:26" ht="16">
      <c r="A8" s="495" t="s">
        <v>711</v>
      </c>
      <c r="B8" s="866" t="s">
        <v>712</v>
      </c>
      <c r="C8" s="866"/>
      <c r="D8" s="866"/>
      <c r="E8" s="866"/>
      <c r="F8" s="866"/>
      <c r="G8" s="866"/>
      <c r="H8" s="866"/>
      <c r="I8" s="866"/>
      <c r="J8" s="866"/>
      <c r="K8" s="866"/>
      <c r="L8" s="866"/>
      <c r="M8" s="866"/>
      <c r="N8" s="866"/>
      <c r="O8" s="866"/>
      <c r="P8" s="866"/>
      <c r="Q8" s="866"/>
      <c r="R8" s="866"/>
      <c r="S8" s="866"/>
      <c r="T8" s="866"/>
      <c r="U8" s="866"/>
      <c r="V8" s="866"/>
      <c r="W8" s="866"/>
      <c r="X8" s="866"/>
      <c r="Y8" s="866"/>
      <c r="Z8" s="496"/>
    </row>
    <row r="9" spans="1:26" ht="17">
      <c r="A9" s="497" t="s">
        <v>280</v>
      </c>
      <c r="B9" s="498" t="s">
        <v>713</v>
      </c>
      <c r="C9" s="498" t="s">
        <v>714</v>
      </c>
      <c r="D9" s="498" t="s">
        <v>715</v>
      </c>
      <c r="E9" s="498" t="s">
        <v>716</v>
      </c>
      <c r="F9" s="498" t="s">
        <v>717</v>
      </c>
      <c r="G9" s="498" t="s">
        <v>718</v>
      </c>
      <c r="H9" s="498" t="s">
        <v>719</v>
      </c>
      <c r="I9" s="498" t="s">
        <v>720</v>
      </c>
      <c r="J9" s="498" t="s">
        <v>721</v>
      </c>
      <c r="K9" s="498" t="s">
        <v>722</v>
      </c>
      <c r="L9" s="498" t="s">
        <v>723</v>
      </c>
      <c r="M9" s="498" t="s">
        <v>724</v>
      </c>
      <c r="N9" s="498" t="s">
        <v>725</v>
      </c>
      <c r="O9" s="498" t="s">
        <v>726</v>
      </c>
      <c r="P9" s="498" t="s">
        <v>727</v>
      </c>
      <c r="Q9" s="498" t="s">
        <v>728</v>
      </c>
      <c r="R9" s="498" t="s">
        <v>729</v>
      </c>
      <c r="S9" s="498" t="s">
        <v>730</v>
      </c>
      <c r="T9" s="498" t="s">
        <v>731</v>
      </c>
      <c r="U9" s="498" t="s">
        <v>732</v>
      </c>
      <c r="V9" s="498" t="s">
        <v>733</v>
      </c>
      <c r="W9" s="498" t="s">
        <v>734</v>
      </c>
      <c r="X9" s="498" t="s">
        <v>735</v>
      </c>
      <c r="Y9" s="498" t="s">
        <v>736</v>
      </c>
      <c r="Z9" s="499"/>
    </row>
    <row r="10" spans="1:26">
      <c r="A10" s="500">
        <v>45047</v>
      </c>
      <c r="B10" s="501">
        <v>2250.19</v>
      </c>
      <c r="C10" s="501">
        <v>2148.9299999999998</v>
      </c>
      <c r="D10" s="501">
        <v>2083.8000000000002</v>
      </c>
      <c r="E10" s="501">
        <v>2027.62</v>
      </c>
      <c r="F10" s="501">
        <v>2012.55</v>
      </c>
      <c r="G10" s="501">
        <v>2036.73</v>
      </c>
      <c r="H10" s="501">
        <v>2091.3000000000002</v>
      </c>
      <c r="I10" s="501">
        <v>2225.09</v>
      </c>
      <c r="J10" s="501">
        <v>2446.63</v>
      </c>
      <c r="K10" s="501">
        <v>2583.7399999999998</v>
      </c>
      <c r="L10" s="501">
        <v>2589.98</v>
      </c>
      <c r="M10" s="501">
        <v>2576.19</v>
      </c>
      <c r="N10" s="501">
        <v>2559.54</v>
      </c>
      <c r="O10" s="501">
        <v>2550.04</v>
      </c>
      <c r="P10" s="501">
        <v>2528.13</v>
      </c>
      <c r="Q10" s="501">
        <v>2508.73</v>
      </c>
      <c r="R10" s="501">
        <v>2506.39</v>
      </c>
      <c r="S10" s="501">
        <v>2520.11</v>
      </c>
      <c r="T10" s="501">
        <v>2584.94</v>
      </c>
      <c r="U10" s="501">
        <v>2646.12</v>
      </c>
      <c r="V10" s="501">
        <v>2676.71</v>
      </c>
      <c r="W10" s="501">
        <v>2617.63</v>
      </c>
      <c r="X10" s="501">
        <v>2521.41</v>
      </c>
      <c r="Y10" s="501">
        <v>2322.5700000000002</v>
      </c>
      <c r="Z10" s="502"/>
    </row>
    <row r="11" spans="1:26">
      <c r="A11" s="500">
        <v>45048</v>
      </c>
      <c r="B11" s="501">
        <v>2084.8000000000002</v>
      </c>
      <c r="C11" s="501">
        <v>1939.54</v>
      </c>
      <c r="D11" s="501">
        <v>1866.73</v>
      </c>
      <c r="E11" s="501">
        <v>1872.13</v>
      </c>
      <c r="F11" s="501">
        <v>1910.96</v>
      </c>
      <c r="G11" s="501">
        <v>2041.09</v>
      </c>
      <c r="H11" s="501">
        <v>2243.9499999999998</v>
      </c>
      <c r="I11" s="501">
        <v>2473.1</v>
      </c>
      <c r="J11" s="501">
        <v>2604.6799999999998</v>
      </c>
      <c r="K11" s="501">
        <v>2608.37</v>
      </c>
      <c r="L11" s="501">
        <v>2584.71</v>
      </c>
      <c r="M11" s="501">
        <v>2601.56</v>
      </c>
      <c r="N11" s="501">
        <v>2618.54</v>
      </c>
      <c r="O11" s="501">
        <v>2620.54</v>
      </c>
      <c r="P11" s="501">
        <v>2589.8200000000002</v>
      </c>
      <c r="Q11" s="501">
        <v>2552.6799999999998</v>
      </c>
      <c r="R11" s="501">
        <v>2531.66</v>
      </c>
      <c r="S11" s="501">
        <v>2523.12</v>
      </c>
      <c r="T11" s="501">
        <v>2520.2399999999998</v>
      </c>
      <c r="U11" s="501">
        <v>2526.5500000000002</v>
      </c>
      <c r="V11" s="501">
        <v>2542.2800000000002</v>
      </c>
      <c r="W11" s="501">
        <v>2518.5</v>
      </c>
      <c r="X11" s="501">
        <v>2348.94</v>
      </c>
      <c r="Y11" s="501">
        <v>2097.66</v>
      </c>
      <c r="Z11" s="502"/>
    </row>
    <row r="12" spans="1:26">
      <c r="A12" s="500">
        <v>45049</v>
      </c>
      <c r="B12" s="501">
        <v>1963.88</v>
      </c>
      <c r="C12" s="501">
        <v>1846.4</v>
      </c>
      <c r="D12" s="501">
        <v>1834.41</v>
      </c>
      <c r="E12" s="501">
        <v>1843.65</v>
      </c>
      <c r="F12" s="501">
        <v>1877.3</v>
      </c>
      <c r="G12" s="501">
        <v>1997.38</v>
      </c>
      <c r="H12" s="501">
        <v>2182.15</v>
      </c>
      <c r="I12" s="501">
        <v>2381.33</v>
      </c>
      <c r="J12" s="501">
        <v>2534.37</v>
      </c>
      <c r="K12" s="501">
        <v>2583.58</v>
      </c>
      <c r="L12" s="501">
        <v>2580.54</v>
      </c>
      <c r="M12" s="501">
        <v>2566.2399999999998</v>
      </c>
      <c r="N12" s="501">
        <v>2570.59</v>
      </c>
      <c r="O12" s="501">
        <v>2576.92</v>
      </c>
      <c r="P12" s="501">
        <v>2563.83</v>
      </c>
      <c r="Q12" s="501">
        <v>2561.4499999999998</v>
      </c>
      <c r="R12" s="501">
        <v>2572.3000000000002</v>
      </c>
      <c r="S12" s="501">
        <v>2564.89</v>
      </c>
      <c r="T12" s="501">
        <v>2545.15</v>
      </c>
      <c r="U12" s="501">
        <v>2562.5700000000002</v>
      </c>
      <c r="V12" s="501">
        <v>2559.31</v>
      </c>
      <c r="W12" s="501">
        <v>2525.4</v>
      </c>
      <c r="X12" s="501">
        <v>2319.73</v>
      </c>
      <c r="Y12" s="501">
        <v>2124.39</v>
      </c>
      <c r="Z12" s="502"/>
    </row>
    <row r="13" spans="1:26">
      <c r="A13" s="500">
        <v>45050</v>
      </c>
      <c r="B13" s="501">
        <v>1922.2</v>
      </c>
      <c r="C13" s="501">
        <v>1833.05</v>
      </c>
      <c r="D13" s="501">
        <v>1778.34</v>
      </c>
      <c r="E13" s="501">
        <v>1772.07</v>
      </c>
      <c r="F13" s="501">
        <v>1832.08</v>
      </c>
      <c r="G13" s="501">
        <v>1914.19</v>
      </c>
      <c r="H13" s="501">
        <v>2118.27</v>
      </c>
      <c r="I13" s="501">
        <v>2330.44</v>
      </c>
      <c r="J13" s="501">
        <v>2399.96</v>
      </c>
      <c r="K13" s="501">
        <v>2474.91</v>
      </c>
      <c r="L13" s="501">
        <v>2509.39</v>
      </c>
      <c r="M13" s="501">
        <v>2507.5700000000002</v>
      </c>
      <c r="N13" s="501">
        <v>2511.52</v>
      </c>
      <c r="O13" s="501">
        <v>2512.79</v>
      </c>
      <c r="P13" s="501">
        <v>2499.7600000000002</v>
      </c>
      <c r="Q13" s="501">
        <v>2475.66</v>
      </c>
      <c r="R13" s="501">
        <v>2453.0300000000002</v>
      </c>
      <c r="S13" s="501">
        <v>2424.6799999999998</v>
      </c>
      <c r="T13" s="501">
        <v>2389</v>
      </c>
      <c r="U13" s="501">
        <v>2455.67</v>
      </c>
      <c r="V13" s="501">
        <v>2500.56</v>
      </c>
      <c r="W13" s="501">
        <v>2497.13</v>
      </c>
      <c r="X13" s="501">
        <v>2346.9499999999998</v>
      </c>
      <c r="Y13" s="501">
        <v>2147.1799999999998</v>
      </c>
      <c r="Z13" s="502"/>
    </row>
    <row r="14" spans="1:26">
      <c r="A14" s="500">
        <v>45051</v>
      </c>
      <c r="B14" s="501">
        <v>2102.87</v>
      </c>
      <c r="C14" s="501">
        <v>1949.71</v>
      </c>
      <c r="D14" s="501">
        <v>1890.22</v>
      </c>
      <c r="E14" s="501">
        <v>1876.73</v>
      </c>
      <c r="F14" s="501">
        <v>1937.62</v>
      </c>
      <c r="G14" s="501">
        <v>2075.12</v>
      </c>
      <c r="H14" s="501">
        <v>2198.23</v>
      </c>
      <c r="I14" s="501">
        <v>2386.4299999999998</v>
      </c>
      <c r="J14" s="501">
        <v>2528.9899999999998</v>
      </c>
      <c r="K14" s="501">
        <v>2569.27</v>
      </c>
      <c r="L14" s="501">
        <v>2597.39</v>
      </c>
      <c r="M14" s="501">
        <v>2624.51</v>
      </c>
      <c r="N14" s="501">
        <v>2612.0700000000002</v>
      </c>
      <c r="O14" s="501">
        <v>2627.98</v>
      </c>
      <c r="P14" s="501">
        <v>2609.02</v>
      </c>
      <c r="Q14" s="501">
        <v>2581.83</v>
      </c>
      <c r="R14" s="501">
        <v>2563.1999999999998</v>
      </c>
      <c r="S14" s="501">
        <v>2547.36</v>
      </c>
      <c r="T14" s="501">
        <v>2533.4499999999998</v>
      </c>
      <c r="U14" s="501">
        <v>2529.71</v>
      </c>
      <c r="V14" s="501">
        <v>2537.15</v>
      </c>
      <c r="W14" s="501">
        <v>2533.4899999999998</v>
      </c>
      <c r="X14" s="501">
        <v>2418.91</v>
      </c>
      <c r="Y14" s="501">
        <v>2245.31</v>
      </c>
      <c r="Z14" s="502"/>
    </row>
    <row r="15" spans="1:26">
      <c r="A15" s="500">
        <v>45052</v>
      </c>
      <c r="B15" s="501">
        <v>2198.02</v>
      </c>
      <c r="C15" s="501">
        <v>2143.0500000000002</v>
      </c>
      <c r="D15" s="501">
        <v>2055.09</v>
      </c>
      <c r="E15" s="501">
        <v>1951.06</v>
      </c>
      <c r="F15" s="501">
        <v>1956.93</v>
      </c>
      <c r="G15" s="501">
        <v>2061.39</v>
      </c>
      <c r="H15" s="501">
        <v>2125.29</v>
      </c>
      <c r="I15" s="501">
        <v>2221.0700000000002</v>
      </c>
      <c r="J15" s="501">
        <v>2477.86</v>
      </c>
      <c r="K15" s="501">
        <v>2576</v>
      </c>
      <c r="L15" s="501">
        <v>2616.96</v>
      </c>
      <c r="M15" s="501">
        <v>2592.84</v>
      </c>
      <c r="N15" s="501">
        <v>2559.8200000000002</v>
      </c>
      <c r="O15" s="501">
        <v>2553.08</v>
      </c>
      <c r="P15" s="501">
        <v>2544.0700000000002</v>
      </c>
      <c r="Q15" s="501">
        <v>2541.5500000000002</v>
      </c>
      <c r="R15" s="501">
        <v>2528.37</v>
      </c>
      <c r="S15" s="501">
        <v>2507.96</v>
      </c>
      <c r="T15" s="501">
        <v>2506.8000000000002</v>
      </c>
      <c r="U15" s="501">
        <v>2557.5700000000002</v>
      </c>
      <c r="V15" s="501">
        <v>2579.92</v>
      </c>
      <c r="W15" s="501">
        <v>2536.59</v>
      </c>
      <c r="X15" s="501">
        <v>2477.12</v>
      </c>
      <c r="Y15" s="501">
        <v>2270.17</v>
      </c>
      <c r="Z15" s="502"/>
    </row>
    <row r="16" spans="1:26">
      <c r="A16" s="500">
        <v>45053</v>
      </c>
      <c r="B16" s="501">
        <v>2166.64</v>
      </c>
      <c r="C16" s="501">
        <v>2046.36</v>
      </c>
      <c r="D16" s="501">
        <v>1941.18</v>
      </c>
      <c r="E16" s="501">
        <v>1896.08</v>
      </c>
      <c r="F16" s="501">
        <v>1883.97</v>
      </c>
      <c r="G16" s="501">
        <v>1859.88</v>
      </c>
      <c r="H16" s="501">
        <v>1985.85</v>
      </c>
      <c r="I16" s="501">
        <v>2075.06</v>
      </c>
      <c r="J16" s="501">
        <v>2208.58</v>
      </c>
      <c r="K16" s="501">
        <v>2315.8000000000002</v>
      </c>
      <c r="L16" s="501">
        <v>2333.39</v>
      </c>
      <c r="M16" s="501">
        <v>2334.58</v>
      </c>
      <c r="N16" s="501">
        <v>2329.41</v>
      </c>
      <c r="O16" s="501">
        <v>2321.56</v>
      </c>
      <c r="P16" s="501">
        <v>2315.25</v>
      </c>
      <c r="Q16" s="501">
        <v>2315.19</v>
      </c>
      <c r="R16" s="501">
        <v>2317.5700000000002</v>
      </c>
      <c r="S16" s="501">
        <v>2319.7800000000002</v>
      </c>
      <c r="T16" s="501">
        <v>2348.39</v>
      </c>
      <c r="U16" s="501">
        <v>2407.9499999999998</v>
      </c>
      <c r="V16" s="501">
        <v>2493.29</v>
      </c>
      <c r="W16" s="501">
        <v>2416.9</v>
      </c>
      <c r="X16" s="501">
        <v>2358.8000000000002</v>
      </c>
      <c r="Y16" s="501">
        <v>2176.5700000000002</v>
      </c>
      <c r="Z16" s="502"/>
    </row>
    <row r="17" spans="1:26">
      <c r="A17" s="500">
        <v>45054</v>
      </c>
      <c r="B17" s="501">
        <v>2160.2800000000002</v>
      </c>
      <c r="C17" s="501">
        <v>2074.5700000000002</v>
      </c>
      <c r="D17" s="501">
        <v>1971.63</v>
      </c>
      <c r="E17" s="501">
        <v>1816.72</v>
      </c>
      <c r="F17" s="501">
        <v>1806.86</v>
      </c>
      <c r="G17" s="501">
        <v>1827.58</v>
      </c>
      <c r="H17" s="501">
        <v>2027.97</v>
      </c>
      <c r="I17" s="501">
        <v>2138.21</v>
      </c>
      <c r="J17" s="501">
        <v>2316.2199999999998</v>
      </c>
      <c r="K17" s="501">
        <v>2470.27</v>
      </c>
      <c r="L17" s="501">
        <v>2494.4699999999998</v>
      </c>
      <c r="M17" s="501">
        <v>2494.0700000000002</v>
      </c>
      <c r="N17" s="501">
        <v>2483.79</v>
      </c>
      <c r="O17" s="501">
        <v>2479.13</v>
      </c>
      <c r="P17" s="501">
        <v>2475.61</v>
      </c>
      <c r="Q17" s="501">
        <v>2471.48</v>
      </c>
      <c r="R17" s="501">
        <v>2462.23</v>
      </c>
      <c r="S17" s="501">
        <v>2429.31</v>
      </c>
      <c r="T17" s="501">
        <v>2447.23</v>
      </c>
      <c r="U17" s="501">
        <v>2488.83</v>
      </c>
      <c r="V17" s="501">
        <v>2503.3200000000002</v>
      </c>
      <c r="W17" s="501">
        <v>2449.6799999999998</v>
      </c>
      <c r="X17" s="501">
        <v>2397.3000000000002</v>
      </c>
      <c r="Y17" s="501">
        <v>2243.6999999999998</v>
      </c>
      <c r="Z17" s="502"/>
    </row>
    <row r="18" spans="1:26">
      <c r="A18" s="500">
        <v>45055</v>
      </c>
      <c r="B18" s="501">
        <v>2196.12</v>
      </c>
      <c r="C18" s="501">
        <v>2108.48</v>
      </c>
      <c r="D18" s="501">
        <v>2059.2600000000002</v>
      </c>
      <c r="E18" s="501">
        <v>2024.51</v>
      </c>
      <c r="F18" s="501">
        <v>2000.87</v>
      </c>
      <c r="G18" s="501">
        <v>2004.41</v>
      </c>
      <c r="H18" s="501">
        <v>2047.65</v>
      </c>
      <c r="I18" s="501">
        <v>2140.71</v>
      </c>
      <c r="J18" s="501">
        <v>2355.42</v>
      </c>
      <c r="K18" s="501">
        <v>2437.7600000000002</v>
      </c>
      <c r="L18" s="501">
        <v>2483.88</v>
      </c>
      <c r="M18" s="501">
        <v>2464.42</v>
      </c>
      <c r="N18" s="501">
        <v>2457.66</v>
      </c>
      <c r="O18" s="501">
        <v>2454.3200000000002</v>
      </c>
      <c r="P18" s="501">
        <v>2450.09</v>
      </c>
      <c r="Q18" s="501">
        <v>2441.56</v>
      </c>
      <c r="R18" s="501">
        <v>2413.9299999999998</v>
      </c>
      <c r="S18" s="501">
        <v>2413.4299999999998</v>
      </c>
      <c r="T18" s="501">
        <v>2429.5300000000002</v>
      </c>
      <c r="U18" s="501">
        <v>2472.66</v>
      </c>
      <c r="V18" s="501">
        <v>2529.27</v>
      </c>
      <c r="W18" s="501">
        <v>2513.2199999999998</v>
      </c>
      <c r="X18" s="501">
        <v>2471.02</v>
      </c>
      <c r="Y18" s="501">
        <v>2296.4899999999998</v>
      </c>
      <c r="Z18" s="502"/>
    </row>
    <row r="19" spans="1:26">
      <c r="A19" s="500">
        <v>45056</v>
      </c>
      <c r="B19" s="501">
        <v>2272.98</v>
      </c>
      <c r="C19" s="501">
        <v>2125.09</v>
      </c>
      <c r="D19" s="501">
        <v>2061.09</v>
      </c>
      <c r="E19" s="501">
        <v>2026.66</v>
      </c>
      <c r="F19" s="501">
        <v>2059.67</v>
      </c>
      <c r="G19" s="501">
        <v>2138.2800000000002</v>
      </c>
      <c r="H19" s="501">
        <v>2323.42</v>
      </c>
      <c r="I19" s="501">
        <v>2557.5100000000002</v>
      </c>
      <c r="J19" s="501">
        <v>2608.2199999999998</v>
      </c>
      <c r="K19" s="501">
        <v>2611.52</v>
      </c>
      <c r="L19" s="501">
        <v>2602.5700000000002</v>
      </c>
      <c r="M19" s="501">
        <v>2636.67</v>
      </c>
      <c r="N19" s="501">
        <v>2643.81</v>
      </c>
      <c r="O19" s="501">
        <v>2650.67</v>
      </c>
      <c r="P19" s="501">
        <v>2635.32</v>
      </c>
      <c r="Q19" s="501">
        <v>2624.82</v>
      </c>
      <c r="R19" s="501">
        <v>2604.08</v>
      </c>
      <c r="S19" s="501">
        <v>2584.0100000000002</v>
      </c>
      <c r="T19" s="501">
        <v>2577.2600000000002</v>
      </c>
      <c r="U19" s="501">
        <v>2563.52</v>
      </c>
      <c r="V19" s="501">
        <v>2574.79</v>
      </c>
      <c r="W19" s="501">
        <v>2579.63</v>
      </c>
      <c r="X19" s="501">
        <v>2398.48</v>
      </c>
      <c r="Y19" s="501">
        <v>2292.6799999999998</v>
      </c>
      <c r="Z19" s="502"/>
    </row>
    <row r="20" spans="1:26">
      <c r="A20" s="500">
        <v>45057</v>
      </c>
      <c r="B20" s="501">
        <v>1977.98</v>
      </c>
      <c r="C20" s="501">
        <v>1860.15</v>
      </c>
      <c r="D20" s="501">
        <v>1823.81</v>
      </c>
      <c r="E20" s="501">
        <v>1790.95</v>
      </c>
      <c r="F20" s="501">
        <v>1821.7</v>
      </c>
      <c r="G20" s="501">
        <v>1923.89</v>
      </c>
      <c r="H20" s="501">
        <v>2482.98</v>
      </c>
      <c r="I20" s="501">
        <v>2498.13</v>
      </c>
      <c r="J20" s="501">
        <v>2590.77</v>
      </c>
      <c r="K20" s="501">
        <v>2593.6999999999998</v>
      </c>
      <c r="L20" s="501">
        <v>2548.0500000000002</v>
      </c>
      <c r="M20" s="501">
        <v>2593.17</v>
      </c>
      <c r="N20" s="501">
        <v>2602.21</v>
      </c>
      <c r="O20" s="501">
        <v>2590.08</v>
      </c>
      <c r="P20" s="501">
        <v>2563.7199999999998</v>
      </c>
      <c r="Q20" s="501">
        <v>2489.83</v>
      </c>
      <c r="R20" s="501">
        <v>2437.9299999999998</v>
      </c>
      <c r="S20" s="501">
        <v>2421.7199999999998</v>
      </c>
      <c r="T20" s="501">
        <v>2404.84</v>
      </c>
      <c r="U20" s="501">
        <v>2416.69</v>
      </c>
      <c r="V20" s="501">
        <v>2446.2800000000002</v>
      </c>
      <c r="W20" s="501">
        <v>2446.73</v>
      </c>
      <c r="X20" s="501">
        <v>2316.0500000000002</v>
      </c>
      <c r="Y20" s="501">
        <v>2073.0700000000002</v>
      </c>
      <c r="Z20" s="502"/>
    </row>
    <row r="21" spans="1:26">
      <c r="A21" s="500">
        <v>45058</v>
      </c>
      <c r="B21" s="501">
        <v>1961.83</v>
      </c>
      <c r="C21" s="501">
        <v>1845.88</v>
      </c>
      <c r="D21" s="501">
        <v>1790.87</v>
      </c>
      <c r="E21" s="501">
        <v>1753.24</v>
      </c>
      <c r="F21" s="501">
        <v>1841.66</v>
      </c>
      <c r="G21" s="501">
        <v>2218.7399999999998</v>
      </c>
      <c r="H21" s="501">
        <v>2654.12</v>
      </c>
      <c r="I21" s="501">
        <v>2693.34</v>
      </c>
      <c r="J21" s="501">
        <v>2713.05</v>
      </c>
      <c r="K21" s="501">
        <v>2716.45</v>
      </c>
      <c r="L21" s="501">
        <v>2711.83</v>
      </c>
      <c r="M21" s="501">
        <v>2701.94</v>
      </c>
      <c r="N21" s="501">
        <v>2706.89</v>
      </c>
      <c r="O21" s="501">
        <v>2704.14</v>
      </c>
      <c r="P21" s="501">
        <v>2789.06</v>
      </c>
      <c r="Q21" s="501">
        <v>2792.33</v>
      </c>
      <c r="R21" s="501">
        <v>2608.0100000000002</v>
      </c>
      <c r="S21" s="501">
        <v>2605.3000000000002</v>
      </c>
      <c r="T21" s="501">
        <v>2592.19</v>
      </c>
      <c r="U21" s="501">
        <v>2591.4</v>
      </c>
      <c r="V21" s="501">
        <v>2602.4</v>
      </c>
      <c r="W21" s="501">
        <v>2565.42</v>
      </c>
      <c r="X21" s="501">
        <v>2407.89</v>
      </c>
      <c r="Y21" s="501">
        <v>2304.06</v>
      </c>
      <c r="Z21" s="502"/>
    </row>
    <row r="22" spans="1:26">
      <c r="A22" s="500">
        <v>45059</v>
      </c>
      <c r="B22" s="501">
        <v>2249.1</v>
      </c>
      <c r="C22" s="501">
        <v>2024.24</v>
      </c>
      <c r="D22" s="501">
        <v>1895.23</v>
      </c>
      <c r="E22" s="501">
        <v>1869.41</v>
      </c>
      <c r="F22" s="501">
        <v>1868.74</v>
      </c>
      <c r="G22" s="501">
        <v>1896.48</v>
      </c>
      <c r="H22" s="501">
        <v>2064.16</v>
      </c>
      <c r="I22" s="501">
        <v>2230.14</v>
      </c>
      <c r="J22" s="501">
        <v>2400.75</v>
      </c>
      <c r="K22" s="501">
        <v>2599.7600000000002</v>
      </c>
      <c r="L22" s="501">
        <v>2608.0700000000002</v>
      </c>
      <c r="M22" s="501">
        <v>2608.2399999999998</v>
      </c>
      <c r="N22" s="501">
        <v>2599.5300000000002</v>
      </c>
      <c r="O22" s="501">
        <v>2589.65</v>
      </c>
      <c r="P22" s="501">
        <v>2586.61</v>
      </c>
      <c r="Q22" s="501">
        <v>2571.09</v>
      </c>
      <c r="R22" s="501">
        <v>2528.77</v>
      </c>
      <c r="S22" s="501">
        <v>2482.6799999999998</v>
      </c>
      <c r="T22" s="501">
        <v>2478.9299999999998</v>
      </c>
      <c r="U22" s="501">
        <v>2520.04</v>
      </c>
      <c r="V22" s="501">
        <v>2538.85</v>
      </c>
      <c r="W22" s="501">
        <v>2498.4299999999998</v>
      </c>
      <c r="X22" s="501">
        <v>2434.54</v>
      </c>
      <c r="Y22" s="501">
        <v>2276.62</v>
      </c>
      <c r="Z22" s="502"/>
    </row>
    <row r="23" spans="1:26">
      <c r="A23" s="500">
        <v>45060</v>
      </c>
      <c r="B23" s="501">
        <v>2100.94</v>
      </c>
      <c r="C23" s="501">
        <v>1924.65</v>
      </c>
      <c r="D23" s="501">
        <v>1853.19</v>
      </c>
      <c r="E23" s="501">
        <v>1837.49</v>
      </c>
      <c r="F23" s="501">
        <v>1829.5</v>
      </c>
      <c r="G23" s="501">
        <v>1767.2</v>
      </c>
      <c r="H23" s="501">
        <v>1765.28</v>
      </c>
      <c r="I23" s="501">
        <v>1966.73</v>
      </c>
      <c r="J23" s="501">
        <v>2212.73</v>
      </c>
      <c r="K23" s="501">
        <v>2331.86</v>
      </c>
      <c r="L23" s="501">
        <v>2359.4699999999998</v>
      </c>
      <c r="M23" s="501">
        <v>2362.9</v>
      </c>
      <c r="N23" s="501">
        <v>2358.48</v>
      </c>
      <c r="O23" s="501">
        <v>2355.3000000000002</v>
      </c>
      <c r="P23" s="501">
        <v>2351.2199999999998</v>
      </c>
      <c r="Q23" s="501">
        <v>2355.63</v>
      </c>
      <c r="R23" s="501">
        <v>2356.4699999999998</v>
      </c>
      <c r="S23" s="501">
        <v>2334.35</v>
      </c>
      <c r="T23" s="501">
        <v>2364.4</v>
      </c>
      <c r="U23" s="501">
        <v>2434.73</v>
      </c>
      <c r="V23" s="501">
        <v>2476.92</v>
      </c>
      <c r="W23" s="501">
        <v>2435.1799999999998</v>
      </c>
      <c r="X23" s="501">
        <v>2370.71</v>
      </c>
      <c r="Y23" s="501">
        <v>2233.4899999999998</v>
      </c>
      <c r="Z23" s="502"/>
    </row>
    <row r="24" spans="1:26">
      <c r="A24" s="500">
        <v>45061</v>
      </c>
      <c r="B24" s="501">
        <v>2064.96</v>
      </c>
      <c r="C24" s="501">
        <v>1896.48</v>
      </c>
      <c r="D24" s="501">
        <v>1845.43</v>
      </c>
      <c r="E24" s="501">
        <v>1826.26</v>
      </c>
      <c r="F24" s="501">
        <v>1871.51</v>
      </c>
      <c r="G24" s="501">
        <v>1965.84</v>
      </c>
      <c r="H24" s="501">
        <v>2207.1</v>
      </c>
      <c r="I24" s="501">
        <v>2404.3200000000002</v>
      </c>
      <c r="J24" s="501">
        <v>2647.02</v>
      </c>
      <c r="K24" s="501">
        <v>2680.07</v>
      </c>
      <c r="L24" s="501">
        <v>2660.04</v>
      </c>
      <c r="M24" s="501">
        <v>2671.22</v>
      </c>
      <c r="N24" s="501">
        <v>2670.63</v>
      </c>
      <c r="O24" s="501">
        <v>2691.17</v>
      </c>
      <c r="P24" s="501">
        <v>2647.33</v>
      </c>
      <c r="Q24" s="501">
        <v>2621.31</v>
      </c>
      <c r="R24" s="501">
        <v>2602.69</v>
      </c>
      <c r="S24" s="501">
        <v>2574.9699999999998</v>
      </c>
      <c r="T24" s="501">
        <v>2547.54</v>
      </c>
      <c r="U24" s="501">
        <v>2543.46</v>
      </c>
      <c r="V24" s="501">
        <v>2571.08</v>
      </c>
      <c r="W24" s="501">
        <v>2581.7800000000002</v>
      </c>
      <c r="X24" s="501">
        <v>2384.2800000000002</v>
      </c>
      <c r="Y24" s="501">
        <v>2254.48</v>
      </c>
      <c r="Z24" s="502"/>
    </row>
    <row r="25" spans="1:26">
      <c r="A25" s="500">
        <v>45062</v>
      </c>
      <c r="B25" s="501">
        <v>2011.87</v>
      </c>
      <c r="C25" s="501">
        <v>1936.77</v>
      </c>
      <c r="D25" s="501">
        <v>1865.17</v>
      </c>
      <c r="E25" s="501">
        <v>1854.57</v>
      </c>
      <c r="F25" s="501">
        <v>1892.08</v>
      </c>
      <c r="G25" s="501">
        <v>2051.5300000000002</v>
      </c>
      <c r="H25" s="501">
        <v>2240.96</v>
      </c>
      <c r="I25" s="501">
        <v>2398.39</v>
      </c>
      <c r="J25" s="501">
        <v>2611.33</v>
      </c>
      <c r="K25" s="501">
        <v>2634.87</v>
      </c>
      <c r="L25" s="501">
        <v>2617.2399999999998</v>
      </c>
      <c r="M25" s="501">
        <v>2612.96</v>
      </c>
      <c r="N25" s="501">
        <v>2603.88</v>
      </c>
      <c r="O25" s="501">
        <v>2632.44</v>
      </c>
      <c r="P25" s="501">
        <v>2604.89</v>
      </c>
      <c r="Q25" s="501">
        <v>2519.12</v>
      </c>
      <c r="R25" s="501">
        <v>2463.0300000000002</v>
      </c>
      <c r="S25" s="501">
        <v>2443.88</v>
      </c>
      <c r="T25" s="501">
        <v>2420.58</v>
      </c>
      <c r="U25" s="501">
        <v>2434.2600000000002</v>
      </c>
      <c r="V25" s="501">
        <v>2497.37</v>
      </c>
      <c r="W25" s="501">
        <v>2553.8000000000002</v>
      </c>
      <c r="X25" s="501">
        <v>2351.5</v>
      </c>
      <c r="Y25" s="501">
        <v>2168.0700000000002</v>
      </c>
      <c r="Z25" s="502"/>
    </row>
    <row r="26" spans="1:26">
      <c r="A26" s="500">
        <v>45063</v>
      </c>
      <c r="B26" s="501">
        <v>1934.88</v>
      </c>
      <c r="C26" s="501">
        <v>1853.12</v>
      </c>
      <c r="D26" s="501">
        <v>1794.06</v>
      </c>
      <c r="E26" s="501">
        <v>1752.34</v>
      </c>
      <c r="F26" s="501">
        <v>1795.79</v>
      </c>
      <c r="G26" s="501">
        <v>1923.36</v>
      </c>
      <c r="H26" s="501">
        <v>2192.1999999999998</v>
      </c>
      <c r="I26" s="501">
        <v>2367.0300000000002</v>
      </c>
      <c r="J26" s="501">
        <v>2558.69</v>
      </c>
      <c r="K26" s="501">
        <v>2621.4299999999998</v>
      </c>
      <c r="L26" s="501">
        <v>2583.1799999999998</v>
      </c>
      <c r="M26" s="501">
        <v>2618.46</v>
      </c>
      <c r="N26" s="501">
        <v>2607.2800000000002</v>
      </c>
      <c r="O26" s="501">
        <v>2619.9499999999998</v>
      </c>
      <c r="P26" s="501">
        <v>2564.64</v>
      </c>
      <c r="Q26" s="501">
        <v>2501.13</v>
      </c>
      <c r="R26" s="501">
        <v>2440.0100000000002</v>
      </c>
      <c r="S26" s="501">
        <v>2413.86</v>
      </c>
      <c r="T26" s="501">
        <v>2400.2600000000002</v>
      </c>
      <c r="U26" s="501">
        <v>2415.52</v>
      </c>
      <c r="V26" s="501">
        <v>2452.33</v>
      </c>
      <c r="W26" s="501">
        <v>2519.86</v>
      </c>
      <c r="X26" s="501">
        <v>2361.46</v>
      </c>
      <c r="Y26" s="501">
        <v>2116.96</v>
      </c>
      <c r="Z26" s="502"/>
    </row>
    <row r="27" spans="1:26">
      <c r="A27" s="500">
        <v>45064</v>
      </c>
      <c r="B27" s="501">
        <v>1983.01</v>
      </c>
      <c r="C27" s="501">
        <v>1902.02</v>
      </c>
      <c r="D27" s="501">
        <v>1805.4</v>
      </c>
      <c r="E27" s="501">
        <v>1788.95</v>
      </c>
      <c r="F27" s="501">
        <v>1865.91</v>
      </c>
      <c r="G27" s="501">
        <v>1972.09</v>
      </c>
      <c r="H27" s="501">
        <v>2168.02</v>
      </c>
      <c r="I27" s="501">
        <v>2366.94</v>
      </c>
      <c r="J27" s="501">
        <v>2557.13</v>
      </c>
      <c r="K27" s="501">
        <v>2596.63</v>
      </c>
      <c r="L27" s="501">
        <v>2574.29</v>
      </c>
      <c r="M27" s="501">
        <v>2581.48</v>
      </c>
      <c r="N27" s="501">
        <v>2577.69</v>
      </c>
      <c r="O27" s="501">
        <v>2592.79</v>
      </c>
      <c r="P27" s="501">
        <v>2579.86</v>
      </c>
      <c r="Q27" s="501">
        <v>2565.34</v>
      </c>
      <c r="R27" s="501">
        <v>2570.15</v>
      </c>
      <c r="S27" s="501">
        <v>2568.5100000000002</v>
      </c>
      <c r="T27" s="501">
        <v>2557.11</v>
      </c>
      <c r="U27" s="501">
        <v>2579.9</v>
      </c>
      <c r="V27" s="501">
        <v>2585.65</v>
      </c>
      <c r="W27" s="501">
        <v>2592.73</v>
      </c>
      <c r="X27" s="501">
        <v>2398.1</v>
      </c>
      <c r="Y27" s="501">
        <v>2236.8200000000002</v>
      </c>
      <c r="Z27" s="502"/>
    </row>
    <row r="28" spans="1:26">
      <c r="A28" s="500">
        <v>45065</v>
      </c>
      <c r="B28" s="501">
        <v>1978.35</v>
      </c>
      <c r="C28" s="501">
        <v>1843.47</v>
      </c>
      <c r="D28" s="501">
        <v>1762.87</v>
      </c>
      <c r="E28" s="501">
        <v>1729.23</v>
      </c>
      <c r="F28" s="501">
        <v>1759.33</v>
      </c>
      <c r="G28" s="501">
        <v>2029.3</v>
      </c>
      <c r="H28" s="501">
        <v>2209.5100000000002</v>
      </c>
      <c r="I28" s="501">
        <v>2468.15</v>
      </c>
      <c r="J28" s="501">
        <v>2656.21</v>
      </c>
      <c r="K28" s="501">
        <v>2706.3</v>
      </c>
      <c r="L28" s="501">
        <v>2693.82</v>
      </c>
      <c r="M28" s="501">
        <v>2708.98</v>
      </c>
      <c r="N28" s="501">
        <v>2709.42</v>
      </c>
      <c r="O28" s="501">
        <v>2711.93</v>
      </c>
      <c r="P28" s="501">
        <v>2698.26</v>
      </c>
      <c r="Q28" s="501">
        <v>2683.98</v>
      </c>
      <c r="R28" s="501">
        <v>2655.79</v>
      </c>
      <c r="S28" s="501">
        <v>2638.76</v>
      </c>
      <c r="T28" s="501">
        <v>2616.98</v>
      </c>
      <c r="U28" s="501">
        <v>2618.63</v>
      </c>
      <c r="V28" s="501">
        <v>2631.7</v>
      </c>
      <c r="W28" s="501">
        <v>2630.7</v>
      </c>
      <c r="X28" s="501">
        <v>2466.79</v>
      </c>
      <c r="Y28" s="501">
        <v>2263.48</v>
      </c>
      <c r="Z28" s="502"/>
    </row>
    <row r="29" spans="1:26">
      <c r="A29" s="500">
        <v>45066</v>
      </c>
      <c r="B29" s="501">
        <v>2258.98</v>
      </c>
      <c r="C29" s="501">
        <v>2144.12</v>
      </c>
      <c r="D29" s="501">
        <v>2072.17</v>
      </c>
      <c r="E29" s="501">
        <v>1971.54</v>
      </c>
      <c r="F29" s="501">
        <v>1968.83</v>
      </c>
      <c r="G29" s="501">
        <v>2030.16</v>
      </c>
      <c r="H29" s="501">
        <v>2136.7399999999998</v>
      </c>
      <c r="I29" s="501">
        <v>2316.14</v>
      </c>
      <c r="J29" s="501">
        <v>2517.25</v>
      </c>
      <c r="K29" s="501">
        <v>2649.22</v>
      </c>
      <c r="L29" s="501">
        <v>2687.2</v>
      </c>
      <c r="M29" s="501">
        <v>2669.68</v>
      </c>
      <c r="N29" s="501">
        <v>2595.6799999999998</v>
      </c>
      <c r="O29" s="501">
        <v>2570.84</v>
      </c>
      <c r="P29" s="501">
        <v>2558.48</v>
      </c>
      <c r="Q29" s="501">
        <v>2525.8200000000002</v>
      </c>
      <c r="R29" s="501">
        <v>2511.6799999999998</v>
      </c>
      <c r="S29" s="501">
        <v>2483.61</v>
      </c>
      <c r="T29" s="501">
        <v>2487.91</v>
      </c>
      <c r="U29" s="501">
        <v>2523.25</v>
      </c>
      <c r="V29" s="501">
        <v>2558.66</v>
      </c>
      <c r="W29" s="501">
        <v>2526.77</v>
      </c>
      <c r="X29" s="501">
        <v>2383.64</v>
      </c>
      <c r="Y29" s="501">
        <v>2221.39</v>
      </c>
      <c r="Z29" s="502"/>
    </row>
    <row r="30" spans="1:26">
      <c r="A30" s="500">
        <v>45067</v>
      </c>
      <c r="B30" s="501">
        <v>2197.61</v>
      </c>
      <c r="C30" s="501">
        <v>2068.98</v>
      </c>
      <c r="D30" s="501">
        <v>1958.46</v>
      </c>
      <c r="E30" s="501">
        <v>1884.36</v>
      </c>
      <c r="F30" s="501">
        <v>1880.76</v>
      </c>
      <c r="G30" s="501">
        <v>1852.62</v>
      </c>
      <c r="H30" s="501">
        <v>1936.01</v>
      </c>
      <c r="I30" s="501">
        <v>2161.86</v>
      </c>
      <c r="J30" s="501">
        <v>2329.7199999999998</v>
      </c>
      <c r="K30" s="501">
        <v>2446.09</v>
      </c>
      <c r="L30" s="501">
        <v>2481.31</v>
      </c>
      <c r="M30" s="501">
        <v>2489.6799999999998</v>
      </c>
      <c r="N30" s="501">
        <v>2484.44</v>
      </c>
      <c r="O30" s="501">
        <v>2476.62</v>
      </c>
      <c r="P30" s="501">
        <v>2479.5700000000002</v>
      </c>
      <c r="Q30" s="501">
        <v>2481.66</v>
      </c>
      <c r="R30" s="501">
        <v>2476.84</v>
      </c>
      <c r="S30" s="501">
        <v>2470.71</v>
      </c>
      <c r="T30" s="501">
        <v>2532.5</v>
      </c>
      <c r="U30" s="501">
        <v>2618.12</v>
      </c>
      <c r="V30" s="501">
        <v>2648.23</v>
      </c>
      <c r="W30" s="501">
        <v>2584.88</v>
      </c>
      <c r="X30" s="501">
        <v>2436.16</v>
      </c>
      <c r="Y30" s="501">
        <v>2265.52</v>
      </c>
      <c r="Z30" s="502"/>
    </row>
    <row r="31" spans="1:26">
      <c r="A31" s="500">
        <v>45068</v>
      </c>
      <c r="B31" s="501">
        <v>2078.75</v>
      </c>
      <c r="C31" s="501">
        <v>1940.82</v>
      </c>
      <c r="D31" s="501">
        <v>1879.95</v>
      </c>
      <c r="E31" s="501">
        <v>1875.55</v>
      </c>
      <c r="F31" s="501">
        <v>1878.34</v>
      </c>
      <c r="G31" s="501">
        <v>1941.54</v>
      </c>
      <c r="H31" s="501">
        <v>2195.2600000000002</v>
      </c>
      <c r="I31" s="501">
        <v>2440.81</v>
      </c>
      <c r="J31" s="501">
        <v>2667.37</v>
      </c>
      <c r="K31" s="501">
        <v>2713.01</v>
      </c>
      <c r="L31" s="501">
        <v>2694.77</v>
      </c>
      <c r="M31" s="501">
        <v>2693.64</v>
      </c>
      <c r="N31" s="501">
        <v>2649.31</v>
      </c>
      <c r="O31" s="501">
        <v>2678.25</v>
      </c>
      <c r="P31" s="501">
        <v>2658.55</v>
      </c>
      <c r="Q31" s="501">
        <v>2630.05</v>
      </c>
      <c r="R31" s="501">
        <v>2610.67</v>
      </c>
      <c r="S31" s="501">
        <v>2618.4299999999998</v>
      </c>
      <c r="T31" s="501">
        <v>2601.17</v>
      </c>
      <c r="U31" s="501">
        <v>2575.31</v>
      </c>
      <c r="V31" s="501">
        <v>2605.23</v>
      </c>
      <c r="W31" s="501">
        <v>2632.04</v>
      </c>
      <c r="X31" s="501">
        <v>2372.7199999999998</v>
      </c>
      <c r="Y31" s="501">
        <v>2199.73</v>
      </c>
      <c r="Z31" s="502"/>
    </row>
    <row r="32" spans="1:26">
      <c r="A32" s="500">
        <v>45069</v>
      </c>
      <c r="B32" s="501">
        <v>2096.64</v>
      </c>
      <c r="C32" s="501">
        <v>1953.68</v>
      </c>
      <c r="D32" s="501">
        <v>1869.1</v>
      </c>
      <c r="E32" s="501">
        <v>1841.63</v>
      </c>
      <c r="F32" s="501">
        <v>2003.88</v>
      </c>
      <c r="G32" s="501">
        <v>2163.2600000000002</v>
      </c>
      <c r="H32" s="501">
        <v>2256.13</v>
      </c>
      <c r="I32" s="501">
        <v>2443.36</v>
      </c>
      <c r="J32" s="501">
        <v>2623.77</v>
      </c>
      <c r="K32" s="501">
        <v>2664.94</v>
      </c>
      <c r="L32" s="501">
        <v>2608.83</v>
      </c>
      <c r="M32" s="501">
        <v>2675.09</v>
      </c>
      <c r="N32" s="501">
        <v>2681.57</v>
      </c>
      <c r="O32" s="501">
        <v>2695.37</v>
      </c>
      <c r="P32" s="501">
        <v>2660.04</v>
      </c>
      <c r="Q32" s="501">
        <v>2637.69</v>
      </c>
      <c r="R32" s="501">
        <v>2620.8000000000002</v>
      </c>
      <c r="S32" s="501">
        <v>2591.35</v>
      </c>
      <c r="T32" s="501">
        <v>2562.75</v>
      </c>
      <c r="U32" s="501">
        <v>2550.73</v>
      </c>
      <c r="V32" s="501">
        <v>2553.7399999999998</v>
      </c>
      <c r="W32" s="501">
        <v>2550.75</v>
      </c>
      <c r="X32" s="501">
        <v>2384.9299999999998</v>
      </c>
      <c r="Y32" s="501">
        <v>2153.3000000000002</v>
      </c>
      <c r="Z32" s="502"/>
    </row>
    <row r="33" spans="1:26">
      <c r="A33" s="500">
        <v>45070</v>
      </c>
      <c r="B33" s="501">
        <v>2117.02</v>
      </c>
      <c r="C33" s="501">
        <v>1919.39</v>
      </c>
      <c r="D33" s="501">
        <v>1888.18</v>
      </c>
      <c r="E33" s="501">
        <v>1853.35</v>
      </c>
      <c r="F33" s="501">
        <v>1875.24</v>
      </c>
      <c r="G33" s="501">
        <v>2070.13</v>
      </c>
      <c r="H33" s="501">
        <v>2396.1799999999998</v>
      </c>
      <c r="I33" s="501">
        <v>2564.21</v>
      </c>
      <c r="J33" s="501">
        <v>2662.04</v>
      </c>
      <c r="K33" s="501">
        <v>2676.72</v>
      </c>
      <c r="L33" s="501">
        <v>2667.49</v>
      </c>
      <c r="M33" s="501">
        <v>2657.82</v>
      </c>
      <c r="N33" s="501">
        <v>2653.64</v>
      </c>
      <c r="O33" s="501">
        <v>2659.23</v>
      </c>
      <c r="P33" s="501">
        <v>2654.21</v>
      </c>
      <c r="Q33" s="501">
        <v>2661.1</v>
      </c>
      <c r="R33" s="501">
        <v>2647.65</v>
      </c>
      <c r="S33" s="501">
        <v>2640.56</v>
      </c>
      <c r="T33" s="501">
        <v>2638.04</v>
      </c>
      <c r="U33" s="501">
        <v>2640.54</v>
      </c>
      <c r="V33" s="501">
        <v>2642.76</v>
      </c>
      <c r="W33" s="501">
        <v>2633.23</v>
      </c>
      <c r="X33" s="501">
        <v>2529.92</v>
      </c>
      <c r="Y33" s="501">
        <v>2231.5500000000002</v>
      </c>
      <c r="Z33" s="502"/>
    </row>
    <row r="34" spans="1:26">
      <c r="A34" s="500">
        <v>45071</v>
      </c>
      <c r="B34" s="501">
        <v>1956.87</v>
      </c>
      <c r="C34" s="501">
        <v>1856.39</v>
      </c>
      <c r="D34" s="501">
        <v>1801.72</v>
      </c>
      <c r="E34" s="501">
        <v>1762.77</v>
      </c>
      <c r="F34" s="501">
        <v>1775.86</v>
      </c>
      <c r="G34" s="501">
        <v>1960.02</v>
      </c>
      <c r="H34" s="501">
        <v>2358.64</v>
      </c>
      <c r="I34" s="501">
        <v>2518.08</v>
      </c>
      <c r="J34" s="501">
        <v>2687.05</v>
      </c>
      <c r="K34" s="501">
        <v>2684.81</v>
      </c>
      <c r="L34" s="501">
        <v>2679.44</v>
      </c>
      <c r="M34" s="501">
        <v>2675.13</v>
      </c>
      <c r="N34" s="501">
        <v>2677.55</v>
      </c>
      <c r="O34" s="501">
        <v>2676.19</v>
      </c>
      <c r="P34" s="501">
        <v>2694.41</v>
      </c>
      <c r="Q34" s="501">
        <v>2692.09</v>
      </c>
      <c r="R34" s="501">
        <v>2670.92</v>
      </c>
      <c r="S34" s="501">
        <v>2667.45</v>
      </c>
      <c r="T34" s="501">
        <v>2664.93</v>
      </c>
      <c r="U34" s="501">
        <v>2669.12</v>
      </c>
      <c r="V34" s="501">
        <v>2672.74</v>
      </c>
      <c r="W34" s="501">
        <v>2657.58</v>
      </c>
      <c r="X34" s="501">
        <v>2554.86</v>
      </c>
      <c r="Y34" s="501">
        <v>2166.5700000000002</v>
      </c>
      <c r="Z34" s="502"/>
    </row>
    <row r="35" spans="1:26">
      <c r="A35" s="500">
        <v>45072</v>
      </c>
      <c r="B35" s="501">
        <v>2051.21</v>
      </c>
      <c r="C35" s="501">
        <v>1921.03</v>
      </c>
      <c r="D35" s="501">
        <v>1864.02</v>
      </c>
      <c r="E35" s="501">
        <v>1827.77</v>
      </c>
      <c r="F35" s="501">
        <v>1863.88</v>
      </c>
      <c r="G35" s="501">
        <v>1985.42</v>
      </c>
      <c r="H35" s="501">
        <v>2400.86</v>
      </c>
      <c r="I35" s="501">
        <v>2569.0500000000002</v>
      </c>
      <c r="J35" s="501">
        <v>2770.16</v>
      </c>
      <c r="K35" s="501">
        <v>2774.81</v>
      </c>
      <c r="L35" s="501">
        <v>2772.69</v>
      </c>
      <c r="M35" s="501">
        <v>2768.83</v>
      </c>
      <c r="N35" s="501">
        <v>2771.18</v>
      </c>
      <c r="O35" s="501">
        <v>2771.36</v>
      </c>
      <c r="P35" s="501">
        <v>2784.81</v>
      </c>
      <c r="Q35" s="501">
        <v>2779.39</v>
      </c>
      <c r="R35" s="501">
        <v>2756.19</v>
      </c>
      <c r="S35" s="501">
        <v>2751.14</v>
      </c>
      <c r="T35" s="501">
        <v>2747.01</v>
      </c>
      <c r="U35" s="501">
        <v>2744.54</v>
      </c>
      <c r="V35" s="501">
        <v>2751.64</v>
      </c>
      <c r="W35" s="501">
        <v>2739.47</v>
      </c>
      <c r="X35" s="501">
        <v>2676.86</v>
      </c>
      <c r="Y35" s="501">
        <v>2406.4499999999998</v>
      </c>
      <c r="Z35" s="502"/>
    </row>
    <row r="36" spans="1:26">
      <c r="A36" s="500">
        <v>45073</v>
      </c>
      <c r="B36" s="501">
        <v>2344.4</v>
      </c>
      <c r="C36" s="501">
        <v>2109.6799999999998</v>
      </c>
      <c r="D36" s="501">
        <v>1973.08</v>
      </c>
      <c r="E36" s="501">
        <v>1934.12</v>
      </c>
      <c r="F36" s="501">
        <v>1917.97</v>
      </c>
      <c r="G36" s="501">
        <v>1905.24</v>
      </c>
      <c r="H36" s="501">
        <v>2237.8000000000002</v>
      </c>
      <c r="I36" s="501">
        <v>2400.08</v>
      </c>
      <c r="J36" s="501">
        <v>2646.84</v>
      </c>
      <c r="K36" s="501">
        <v>2698.72</v>
      </c>
      <c r="L36" s="501">
        <v>2698.08</v>
      </c>
      <c r="M36" s="501">
        <v>2697.5</v>
      </c>
      <c r="N36" s="501">
        <v>2696.07</v>
      </c>
      <c r="O36" s="501">
        <v>2691.06</v>
      </c>
      <c r="P36" s="501">
        <v>2683.51</v>
      </c>
      <c r="Q36" s="501">
        <v>2680.67</v>
      </c>
      <c r="R36" s="501">
        <v>2681.73</v>
      </c>
      <c r="S36" s="501">
        <v>2657.35</v>
      </c>
      <c r="T36" s="501">
        <v>2654.31</v>
      </c>
      <c r="U36" s="501">
        <v>2659.22</v>
      </c>
      <c r="V36" s="501">
        <v>2691.04</v>
      </c>
      <c r="W36" s="501">
        <v>2682.36</v>
      </c>
      <c r="X36" s="501">
        <v>2619.5300000000002</v>
      </c>
      <c r="Y36" s="501">
        <v>2306.69</v>
      </c>
      <c r="Z36" s="502"/>
    </row>
    <row r="37" spans="1:26">
      <c r="A37" s="500">
        <v>45074</v>
      </c>
      <c r="B37" s="501">
        <v>2218.7399999999998</v>
      </c>
      <c r="C37" s="501">
        <v>2057.81</v>
      </c>
      <c r="D37" s="501">
        <v>1942.95</v>
      </c>
      <c r="E37" s="501">
        <v>1915.21</v>
      </c>
      <c r="F37" s="501">
        <v>1893.41</v>
      </c>
      <c r="G37" s="501">
        <v>1882.78</v>
      </c>
      <c r="H37" s="501">
        <v>2097.2600000000002</v>
      </c>
      <c r="I37" s="501">
        <v>2253.31</v>
      </c>
      <c r="J37" s="501">
        <v>2502.91</v>
      </c>
      <c r="K37" s="501">
        <v>2641.03</v>
      </c>
      <c r="L37" s="501">
        <v>2646.28</v>
      </c>
      <c r="M37" s="501">
        <v>2644.69</v>
      </c>
      <c r="N37" s="501">
        <v>2644.41</v>
      </c>
      <c r="O37" s="501">
        <v>2644.52</v>
      </c>
      <c r="P37" s="501">
        <v>2644.23</v>
      </c>
      <c r="Q37" s="501">
        <v>2645.26</v>
      </c>
      <c r="R37" s="501">
        <v>2651.7</v>
      </c>
      <c r="S37" s="501">
        <v>2654.27</v>
      </c>
      <c r="T37" s="501">
        <v>2652.36</v>
      </c>
      <c r="U37" s="501">
        <v>2649.24</v>
      </c>
      <c r="V37" s="501">
        <v>2661.18</v>
      </c>
      <c r="W37" s="501">
        <v>2651.7</v>
      </c>
      <c r="X37" s="501">
        <v>2573.91</v>
      </c>
      <c r="Y37" s="501">
        <v>2289.15</v>
      </c>
      <c r="Z37" s="502"/>
    </row>
    <row r="38" spans="1:26">
      <c r="A38" s="500">
        <v>45075</v>
      </c>
      <c r="B38" s="501">
        <v>2144.27</v>
      </c>
      <c r="C38" s="501">
        <v>1988.97</v>
      </c>
      <c r="D38" s="501">
        <v>1904</v>
      </c>
      <c r="E38" s="501">
        <v>1868.31</v>
      </c>
      <c r="F38" s="501">
        <v>1890.21</v>
      </c>
      <c r="G38" s="501">
        <v>1974.62</v>
      </c>
      <c r="H38" s="501">
        <v>2408.7800000000002</v>
      </c>
      <c r="I38" s="501">
        <v>2634.89</v>
      </c>
      <c r="J38" s="501">
        <v>2722.26</v>
      </c>
      <c r="K38" s="501">
        <v>2723.86</v>
      </c>
      <c r="L38" s="501">
        <v>2720.78</v>
      </c>
      <c r="M38" s="501">
        <v>2719.65</v>
      </c>
      <c r="N38" s="501">
        <v>2721.52</v>
      </c>
      <c r="O38" s="501">
        <v>2719.51</v>
      </c>
      <c r="P38" s="501">
        <v>2717.01</v>
      </c>
      <c r="Q38" s="501">
        <v>2711.17</v>
      </c>
      <c r="R38" s="501">
        <v>2706.4</v>
      </c>
      <c r="S38" s="501">
        <v>2705.06</v>
      </c>
      <c r="T38" s="501">
        <v>2700.39</v>
      </c>
      <c r="U38" s="501">
        <v>2701.45</v>
      </c>
      <c r="V38" s="501">
        <v>2702.01</v>
      </c>
      <c r="W38" s="501">
        <v>2693.37</v>
      </c>
      <c r="X38" s="501">
        <v>2647.11</v>
      </c>
      <c r="Y38" s="501">
        <v>2260.64</v>
      </c>
      <c r="Z38" s="502"/>
    </row>
    <row r="39" spans="1:26">
      <c r="A39" s="500">
        <v>45076</v>
      </c>
      <c r="B39" s="501">
        <v>2070.19</v>
      </c>
      <c r="C39" s="501">
        <v>1934.55</v>
      </c>
      <c r="D39" s="501">
        <v>1909.43</v>
      </c>
      <c r="E39" s="501">
        <v>1886.06</v>
      </c>
      <c r="F39" s="501">
        <v>1911.23</v>
      </c>
      <c r="G39" s="501">
        <v>2075.7800000000002</v>
      </c>
      <c r="H39" s="501">
        <v>2410.7600000000002</v>
      </c>
      <c r="I39" s="501">
        <v>2649.67</v>
      </c>
      <c r="J39" s="501">
        <v>2764.02</v>
      </c>
      <c r="K39" s="501">
        <v>2765.93</v>
      </c>
      <c r="L39" s="501">
        <v>2764.21</v>
      </c>
      <c r="M39" s="501">
        <v>2760.42</v>
      </c>
      <c r="N39" s="501">
        <v>2763.77</v>
      </c>
      <c r="O39" s="501">
        <v>2763.11</v>
      </c>
      <c r="P39" s="501">
        <v>2760.75</v>
      </c>
      <c r="Q39" s="501">
        <v>2756.2</v>
      </c>
      <c r="R39" s="501">
        <v>2751.27</v>
      </c>
      <c r="S39" s="501">
        <v>2747.53</v>
      </c>
      <c r="T39" s="501">
        <v>2741.37</v>
      </c>
      <c r="U39" s="501">
        <v>2740.66</v>
      </c>
      <c r="V39" s="501">
        <v>2742.5</v>
      </c>
      <c r="W39" s="501">
        <v>2720.43</v>
      </c>
      <c r="X39" s="501">
        <v>2629.03</v>
      </c>
      <c r="Y39" s="501">
        <v>2288.37</v>
      </c>
      <c r="Z39" s="502"/>
    </row>
    <row r="40" spans="1:26">
      <c r="A40" s="500">
        <v>45077</v>
      </c>
      <c r="B40" s="501">
        <v>2022.22</v>
      </c>
      <c r="C40" s="501">
        <v>1896.66</v>
      </c>
      <c r="D40" s="501">
        <v>1836.16</v>
      </c>
      <c r="E40" s="501">
        <v>1802.48</v>
      </c>
      <c r="F40" s="501">
        <v>1798.48</v>
      </c>
      <c r="G40" s="501">
        <v>1963.47</v>
      </c>
      <c r="H40" s="501">
        <v>2364.63</v>
      </c>
      <c r="I40" s="501">
        <v>2602.39</v>
      </c>
      <c r="J40" s="501">
        <v>2788.27</v>
      </c>
      <c r="K40" s="501">
        <v>2788.44</v>
      </c>
      <c r="L40" s="501">
        <v>2785.99</v>
      </c>
      <c r="M40" s="501">
        <v>2782.2</v>
      </c>
      <c r="N40" s="501">
        <v>2785.58</v>
      </c>
      <c r="O40" s="501">
        <v>2782.25</v>
      </c>
      <c r="P40" s="501">
        <v>2773.1</v>
      </c>
      <c r="Q40" s="501">
        <v>2765.73</v>
      </c>
      <c r="R40" s="501">
        <v>2762.5</v>
      </c>
      <c r="S40" s="501">
        <v>2760.43</v>
      </c>
      <c r="T40" s="501">
        <v>2758.36</v>
      </c>
      <c r="U40" s="501">
        <v>2760.54</v>
      </c>
      <c r="V40" s="501">
        <v>2764.29</v>
      </c>
      <c r="W40" s="501">
        <v>2745.11</v>
      </c>
      <c r="X40" s="501">
        <v>2647.56</v>
      </c>
      <c r="Y40" s="501">
        <v>2344.69</v>
      </c>
      <c r="Z40" s="502"/>
    </row>
    <row r="41" spans="1:26">
      <c r="A41" s="503"/>
      <c r="B41" s="504"/>
      <c r="C41" s="489"/>
      <c r="D41" s="489"/>
      <c r="E41" s="489"/>
      <c r="F41" s="489"/>
      <c r="G41" s="489"/>
      <c r="H41" s="489"/>
      <c r="I41" s="489"/>
      <c r="J41" s="489"/>
      <c r="K41" s="491"/>
      <c r="L41" s="491"/>
      <c r="M41" s="491"/>
      <c r="N41" s="491"/>
      <c r="O41" s="491"/>
      <c r="P41" s="491"/>
      <c r="Q41" s="491"/>
      <c r="R41" s="491"/>
      <c r="S41" s="491"/>
      <c r="T41" s="491"/>
      <c r="U41" s="491"/>
      <c r="V41" s="491"/>
      <c r="W41" s="491"/>
      <c r="X41" s="491"/>
      <c r="Y41" s="491"/>
      <c r="Z41" s="505"/>
    </row>
    <row r="42" spans="1:26">
      <c r="A42" s="503"/>
      <c r="B42" s="504"/>
      <c r="C42" s="489"/>
      <c r="D42" s="489"/>
      <c r="E42" s="489"/>
      <c r="F42" s="489"/>
      <c r="G42" s="489"/>
      <c r="H42" s="489"/>
      <c r="I42" s="489"/>
      <c r="J42" s="489"/>
      <c r="K42" s="491"/>
      <c r="L42" s="491"/>
      <c r="M42" s="491"/>
      <c r="N42" s="491"/>
      <c r="O42" s="491"/>
      <c r="P42" s="491"/>
      <c r="Q42" s="491"/>
      <c r="R42" s="491"/>
      <c r="S42" s="491"/>
      <c r="T42" s="491"/>
      <c r="U42" s="491"/>
      <c r="V42" s="491"/>
      <c r="W42" s="491"/>
      <c r="X42" s="491"/>
      <c r="Y42" s="491"/>
      <c r="Z42" s="505"/>
    </row>
    <row r="43" spans="1:26" ht="16">
      <c r="A43" s="495" t="s">
        <v>711</v>
      </c>
      <c r="B43" s="866" t="s">
        <v>737</v>
      </c>
      <c r="C43" s="866"/>
      <c r="D43" s="866"/>
      <c r="E43" s="866"/>
      <c r="F43" s="866"/>
      <c r="G43" s="866"/>
      <c r="H43" s="866"/>
      <c r="I43" s="866"/>
      <c r="J43" s="866"/>
      <c r="K43" s="866"/>
      <c r="L43" s="866"/>
      <c r="M43" s="866"/>
      <c r="N43" s="866"/>
      <c r="O43" s="866"/>
      <c r="P43" s="866"/>
      <c r="Q43" s="866"/>
      <c r="R43" s="866"/>
      <c r="S43" s="866"/>
      <c r="T43" s="866"/>
      <c r="U43" s="866"/>
      <c r="V43" s="866"/>
      <c r="W43" s="866"/>
      <c r="X43" s="866"/>
      <c r="Y43" s="866"/>
      <c r="Z43" s="496"/>
    </row>
    <row r="44" spans="1:26" ht="17">
      <c r="A44" s="497" t="s">
        <v>280</v>
      </c>
      <c r="B44" s="498" t="s">
        <v>713</v>
      </c>
      <c r="C44" s="498" t="s">
        <v>714</v>
      </c>
      <c r="D44" s="498" t="s">
        <v>715</v>
      </c>
      <c r="E44" s="498" t="s">
        <v>716</v>
      </c>
      <c r="F44" s="498" t="s">
        <v>717</v>
      </c>
      <c r="G44" s="498" t="s">
        <v>718</v>
      </c>
      <c r="H44" s="498" t="s">
        <v>719</v>
      </c>
      <c r="I44" s="498" t="s">
        <v>720</v>
      </c>
      <c r="J44" s="498" t="s">
        <v>721</v>
      </c>
      <c r="K44" s="498" t="s">
        <v>722</v>
      </c>
      <c r="L44" s="498" t="s">
        <v>723</v>
      </c>
      <c r="M44" s="498" t="s">
        <v>724</v>
      </c>
      <c r="N44" s="498" t="s">
        <v>725</v>
      </c>
      <c r="O44" s="498" t="s">
        <v>726</v>
      </c>
      <c r="P44" s="498" t="s">
        <v>727</v>
      </c>
      <c r="Q44" s="498" t="s">
        <v>728</v>
      </c>
      <c r="R44" s="498" t="s">
        <v>729</v>
      </c>
      <c r="S44" s="498" t="s">
        <v>730</v>
      </c>
      <c r="T44" s="498" t="s">
        <v>731</v>
      </c>
      <c r="U44" s="498" t="s">
        <v>732</v>
      </c>
      <c r="V44" s="498" t="s">
        <v>733</v>
      </c>
      <c r="W44" s="498" t="s">
        <v>734</v>
      </c>
      <c r="X44" s="498" t="s">
        <v>735</v>
      </c>
      <c r="Y44" s="498" t="s">
        <v>736</v>
      </c>
      <c r="Z44" s="499"/>
    </row>
    <row r="45" spans="1:26">
      <c r="A45" s="500">
        <v>45047</v>
      </c>
      <c r="B45" s="501">
        <v>2334.08</v>
      </c>
      <c r="C45" s="501">
        <v>2232.8200000000002</v>
      </c>
      <c r="D45" s="501">
        <v>2167.69</v>
      </c>
      <c r="E45" s="501">
        <v>2111.5100000000002</v>
      </c>
      <c r="F45" s="501">
        <v>2096.44</v>
      </c>
      <c r="G45" s="501">
        <v>2120.62</v>
      </c>
      <c r="H45" s="501">
        <v>2175.19</v>
      </c>
      <c r="I45" s="501">
        <v>2308.98</v>
      </c>
      <c r="J45" s="501">
        <v>2530.52</v>
      </c>
      <c r="K45" s="501">
        <v>2667.63</v>
      </c>
      <c r="L45" s="501">
        <v>2673.87</v>
      </c>
      <c r="M45" s="501">
        <v>2660.08</v>
      </c>
      <c r="N45" s="501">
        <v>2643.43</v>
      </c>
      <c r="O45" s="501">
        <v>2633.93</v>
      </c>
      <c r="P45" s="501">
        <v>2612.02</v>
      </c>
      <c r="Q45" s="501">
        <v>2592.62</v>
      </c>
      <c r="R45" s="501">
        <v>2590.2800000000002</v>
      </c>
      <c r="S45" s="501">
        <v>2604</v>
      </c>
      <c r="T45" s="501">
        <v>2668.83</v>
      </c>
      <c r="U45" s="501">
        <v>2730.01</v>
      </c>
      <c r="V45" s="501">
        <v>2760.6</v>
      </c>
      <c r="W45" s="501">
        <v>2701.52</v>
      </c>
      <c r="X45" s="501">
        <v>2605.3000000000002</v>
      </c>
      <c r="Y45" s="501">
        <v>2406.46</v>
      </c>
      <c r="Z45" s="502"/>
    </row>
    <row r="46" spans="1:26">
      <c r="A46" s="500">
        <v>45048</v>
      </c>
      <c r="B46" s="501">
        <v>2168.69</v>
      </c>
      <c r="C46" s="501">
        <v>2023.43</v>
      </c>
      <c r="D46" s="501">
        <v>1950.62</v>
      </c>
      <c r="E46" s="501">
        <v>1956.02</v>
      </c>
      <c r="F46" s="501">
        <v>1994.85</v>
      </c>
      <c r="G46" s="501">
        <v>2124.98</v>
      </c>
      <c r="H46" s="501">
        <v>2327.84</v>
      </c>
      <c r="I46" s="501">
        <v>2556.9899999999998</v>
      </c>
      <c r="J46" s="501">
        <v>2688.57</v>
      </c>
      <c r="K46" s="501">
        <v>2692.26</v>
      </c>
      <c r="L46" s="501">
        <v>2668.6</v>
      </c>
      <c r="M46" s="501">
        <v>2685.45</v>
      </c>
      <c r="N46" s="501">
        <v>2702.43</v>
      </c>
      <c r="O46" s="501">
        <v>2704.43</v>
      </c>
      <c r="P46" s="501">
        <v>2673.71</v>
      </c>
      <c r="Q46" s="501">
        <v>2636.57</v>
      </c>
      <c r="R46" s="501">
        <v>2615.5500000000002</v>
      </c>
      <c r="S46" s="501">
        <v>2607.0100000000002</v>
      </c>
      <c r="T46" s="501">
        <v>2604.13</v>
      </c>
      <c r="U46" s="501">
        <v>2610.44</v>
      </c>
      <c r="V46" s="501">
        <v>2626.17</v>
      </c>
      <c r="W46" s="501">
        <v>2602.39</v>
      </c>
      <c r="X46" s="501">
        <v>2432.83</v>
      </c>
      <c r="Y46" s="501">
        <v>2181.5500000000002</v>
      </c>
      <c r="Z46" s="502"/>
    </row>
    <row r="47" spans="1:26">
      <c r="A47" s="500">
        <v>45049</v>
      </c>
      <c r="B47" s="501">
        <v>2047.77</v>
      </c>
      <c r="C47" s="501">
        <v>1930.29</v>
      </c>
      <c r="D47" s="501">
        <v>1918.3</v>
      </c>
      <c r="E47" s="501">
        <v>1927.54</v>
      </c>
      <c r="F47" s="501">
        <v>1961.19</v>
      </c>
      <c r="G47" s="501">
        <v>2081.27</v>
      </c>
      <c r="H47" s="501">
        <v>2266.04</v>
      </c>
      <c r="I47" s="501">
        <v>2465.2199999999998</v>
      </c>
      <c r="J47" s="501">
        <v>2618.2600000000002</v>
      </c>
      <c r="K47" s="501">
        <v>2667.47</v>
      </c>
      <c r="L47" s="501">
        <v>2664.43</v>
      </c>
      <c r="M47" s="501">
        <v>2650.13</v>
      </c>
      <c r="N47" s="501">
        <v>2654.48</v>
      </c>
      <c r="O47" s="501">
        <v>2660.81</v>
      </c>
      <c r="P47" s="501">
        <v>2647.72</v>
      </c>
      <c r="Q47" s="501">
        <v>2645.34</v>
      </c>
      <c r="R47" s="501">
        <v>2656.19</v>
      </c>
      <c r="S47" s="501">
        <v>2648.78</v>
      </c>
      <c r="T47" s="501">
        <v>2629.04</v>
      </c>
      <c r="U47" s="501">
        <v>2646.46</v>
      </c>
      <c r="V47" s="501">
        <v>2643.2</v>
      </c>
      <c r="W47" s="501">
        <v>2609.29</v>
      </c>
      <c r="X47" s="501">
        <v>2403.62</v>
      </c>
      <c r="Y47" s="501">
        <v>2208.2800000000002</v>
      </c>
      <c r="Z47" s="502"/>
    </row>
    <row r="48" spans="1:26">
      <c r="A48" s="500">
        <v>45050</v>
      </c>
      <c r="B48" s="501">
        <v>2006.09</v>
      </c>
      <c r="C48" s="501">
        <v>1916.94</v>
      </c>
      <c r="D48" s="501">
        <v>1862.23</v>
      </c>
      <c r="E48" s="501">
        <v>1855.96</v>
      </c>
      <c r="F48" s="501">
        <v>1915.97</v>
      </c>
      <c r="G48" s="501">
        <v>1998.08</v>
      </c>
      <c r="H48" s="501">
        <v>2202.16</v>
      </c>
      <c r="I48" s="501">
        <v>2414.33</v>
      </c>
      <c r="J48" s="501">
        <v>2483.85</v>
      </c>
      <c r="K48" s="501">
        <v>2558.8000000000002</v>
      </c>
      <c r="L48" s="501">
        <v>2593.2800000000002</v>
      </c>
      <c r="M48" s="501">
        <v>2591.46</v>
      </c>
      <c r="N48" s="501">
        <v>2595.41</v>
      </c>
      <c r="O48" s="501">
        <v>2596.6799999999998</v>
      </c>
      <c r="P48" s="501">
        <v>2583.65</v>
      </c>
      <c r="Q48" s="501">
        <v>2559.5500000000002</v>
      </c>
      <c r="R48" s="501">
        <v>2536.92</v>
      </c>
      <c r="S48" s="501">
        <v>2508.5700000000002</v>
      </c>
      <c r="T48" s="501">
        <v>2472.89</v>
      </c>
      <c r="U48" s="501">
        <v>2539.56</v>
      </c>
      <c r="V48" s="501">
        <v>2584.4499999999998</v>
      </c>
      <c r="W48" s="501">
        <v>2581.02</v>
      </c>
      <c r="X48" s="501">
        <v>2430.84</v>
      </c>
      <c r="Y48" s="501">
        <v>2231.0700000000002</v>
      </c>
      <c r="Z48" s="502"/>
    </row>
    <row r="49" spans="1:26">
      <c r="A49" s="500">
        <v>45051</v>
      </c>
      <c r="B49" s="501">
        <v>2186.7600000000002</v>
      </c>
      <c r="C49" s="501">
        <v>2033.6</v>
      </c>
      <c r="D49" s="501">
        <v>1974.11</v>
      </c>
      <c r="E49" s="501">
        <v>1960.62</v>
      </c>
      <c r="F49" s="501">
        <v>2021.51</v>
      </c>
      <c r="G49" s="501">
        <v>2159.0100000000002</v>
      </c>
      <c r="H49" s="501">
        <v>2282.12</v>
      </c>
      <c r="I49" s="501">
        <v>2470.3200000000002</v>
      </c>
      <c r="J49" s="501">
        <v>2612.88</v>
      </c>
      <c r="K49" s="501">
        <v>2653.16</v>
      </c>
      <c r="L49" s="501">
        <v>2681.28</v>
      </c>
      <c r="M49" s="501">
        <v>2708.4</v>
      </c>
      <c r="N49" s="501">
        <v>2695.96</v>
      </c>
      <c r="O49" s="501">
        <v>2711.87</v>
      </c>
      <c r="P49" s="501">
        <v>2692.91</v>
      </c>
      <c r="Q49" s="501">
        <v>2665.72</v>
      </c>
      <c r="R49" s="501">
        <v>2647.09</v>
      </c>
      <c r="S49" s="501">
        <v>2631.25</v>
      </c>
      <c r="T49" s="501">
        <v>2617.34</v>
      </c>
      <c r="U49" s="501">
        <v>2613.6</v>
      </c>
      <c r="V49" s="501">
        <v>2621.04</v>
      </c>
      <c r="W49" s="501">
        <v>2617.38</v>
      </c>
      <c r="X49" s="501">
        <v>2502.8000000000002</v>
      </c>
      <c r="Y49" s="501">
        <v>2329.1999999999998</v>
      </c>
      <c r="Z49" s="502"/>
    </row>
    <row r="50" spans="1:26">
      <c r="A50" s="500">
        <v>45052</v>
      </c>
      <c r="B50" s="501">
        <v>2281.91</v>
      </c>
      <c r="C50" s="501">
        <v>2226.94</v>
      </c>
      <c r="D50" s="501">
        <v>2138.98</v>
      </c>
      <c r="E50" s="501">
        <v>2034.95</v>
      </c>
      <c r="F50" s="501">
        <v>2040.82</v>
      </c>
      <c r="G50" s="501">
        <v>2145.2800000000002</v>
      </c>
      <c r="H50" s="501">
        <v>2209.1799999999998</v>
      </c>
      <c r="I50" s="501">
        <v>2304.96</v>
      </c>
      <c r="J50" s="501">
        <v>2561.75</v>
      </c>
      <c r="K50" s="501">
        <v>2659.89</v>
      </c>
      <c r="L50" s="501">
        <v>2700.85</v>
      </c>
      <c r="M50" s="501">
        <v>2676.73</v>
      </c>
      <c r="N50" s="501">
        <v>2643.71</v>
      </c>
      <c r="O50" s="501">
        <v>2636.97</v>
      </c>
      <c r="P50" s="501">
        <v>2627.96</v>
      </c>
      <c r="Q50" s="501">
        <v>2625.44</v>
      </c>
      <c r="R50" s="501">
        <v>2612.2600000000002</v>
      </c>
      <c r="S50" s="501">
        <v>2591.85</v>
      </c>
      <c r="T50" s="501">
        <v>2590.69</v>
      </c>
      <c r="U50" s="501">
        <v>2641.46</v>
      </c>
      <c r="V50" s="501">
        <v>2663.81</v>
      </c>
      <c r="W50" s="501">
        <v>2620.48</v>
      </c>
      <c r="X50" s="501">
        <v>2561.0100000000002</v>
      </c>
      <c r="Y50" s="501">
        <v>2354.06</v>
      </c>
      <c r="Z50" s="502"/>
    </row>
    <row r="51" spans="1:26">
      <c r="A51" s="500">
        <v>45053</v>
      </c>
      <c r="B51" s="501">
        <v>2250.5300000000002</v>
      </c>
      <c r="C51" s="501">
        <v>2130.25</v>
      </c>
      <c r="D51" s="501">
        <v>2025.07</v>
      </c>
      <c r="E51" s="501">
        <v>1979.97</v>
      </c>
      <c r="F51" s="501">
        <v>1967.86</v>
      </c>
      <c r="G51" s="501">
        <v>1943.77</v>
      </c>
      <c r="H51" s="501">
        <v>2069.7399999999998</v>
      </c>
      <c r="I51" s="501">
        <v>2158.9499999999998</v>
      </c>
      <c r="J51" s="501">
        <v>2292.4699999999998</v>
      </c>
      <c r="K51" s="501">
        <v>2399.69</v>
      </c>
      <c r="L51" s="501">
        <v>2417.2800000000002</v>
      </c>
      <c r="M51" s="501">
        <v>2418.4699999999998</v>
      </c>
      <c r="N51" s="501">
        <v>2413.3000000000002</v>
      </c>
      <c r="O51" s="501">
        <v>2405.4499999999998</v>
      </c>
      <c r="P51" s="501">
        <v>2399.14</v>
      </c>
      <c r="Q51" s="501">
        <v>2399.08</v>
      </c>
      <c r="R51" s="501">
        <v>2401.46</v>
      </c>
      <c r="S51" s="501">
        <v>2403.67</v>
      </c>
      <c r="T51" s="501">
        <v>2432.2800000000002</v>
      </c>
      <c r="U51" s="501">
        <v>2491.84</v>
      </c>
      <c r="V51" s="501">
        <v>2577.1799999999998</v>
      </c>
      <c r="W51" s="501">
        <v>2500.79</v>
      </c>
      <c r="X51" s="501">
        <v>2442.69</v>
      </c>
      <c r="Y51" s="501">
        <v>2260.46</v>
      </c>
      <c r="Z51" s="502"/>
    </row>
    <row r="52" spans="1:26">
      <c r="A52" s="500">
        <v>45054</v>
      </c>
      <c r="B52" s="501">
        <v>2244.17</v>
      </c>
      <c r="C52" s="501">
        <v>2158.46</v>
      </c>
      <c r="D52" s="501">
        <v>2055.52</v>
      </c>
      <c r="E52" s="501">
        <v>1900.61</v>
      </c>
      <c r="F52" s="501">
        <v>1890.75</v>
      </c>
      <c r="G52" s="501">
        <v>1911.47</v>
      </c>
      <c r="H52" s="501">
        <v>2111.86</v>
      </c>
      <c r="I52" s="501">
        <v>2222.1</v>
      </c>
      <c r="J52" s="501">
        <v>2400.11</v>
      </c>
      <c r="K52" s="501">
        <v>2554.16</v>
      </c>
      <c r="L52" s="501">
        <v>2578.36</v>
      </c>
      <c r="M52" s="501">
        <v>2577.96</v>
      </c>
      <c r="N52" s="501">
        <v>2567.6799999999998</v>
      </c>
      <c r="O52" s="501">
        <v>2563.02</v>
      </c>
      <c r="P52" s="501">
        <v>2559.5</v>
      </c>
      <c r="Q52" s="501">
        <v>2555.37</v>
      </c>
      <c r="R52" s="501">
        <v>2546.12</v>
      </c>
      <c r="S52" s="501">
        <v>2513.1999999999998</v>
      </c>
      <c r="T52" s="501">
        <v>2531.12</v>
      </c>
      <c r="U52" s="501">
        <v>2572.7199999999998</v>
      </c>
      <c r="V52" s="501">
        <v>2587.21</v>
      </c>
      <c r="W52" s="501">
        <v>2533.5700000000002</v>
      </c>
      <c r="X52" s="501">
        <v>2481.19</v>
      </c>
      <c r="Y52" s="501">
        <v>2327.59</v>
      </c>
      <c r="Z52" s="502"/>
    </row>
    <row r="53" spans="1:26">
      <c r="A53" s="500">
        <v>45055</v>
      </c>
      <c r="B53" s="501">
        <v>2280.0100000000002</v>
      </c>
      <c r="C53" s="501">
        <v>2192.37</v>
      </c>
      <c r="D53" s="501">
        <v>2143.15</v>
      </c>
      <c r="E53" s="501">
        <v>2108.4</v>
      </c>
      <c r="F53" s="501">
        <v>2084.7600000000002</v>
      </c>
      <c r="G53" s="501">
        <v>2088.3000000000002</v>
      </c>
      <c r="H53" s="501">
        <v>2131.54</v>
      </c>
      <c r="I53" s="501">
        <v>2224.6</v>
      </c>
      <c r="J53" s="501">
        <v>2439.31</v>
      </c>
      <c r="K53" s="501">
        <v>2521.65</v>
      </c>
      <c r="L53" s="501">
        <v>2567.77</v>
      </c>
      <c r="M53" s="501">
        <v>2548.31</v>
      </c>
      <c r="N53" s="501">
        <v>2541.5500000000002</v>
      </c>
      <c r="O53" s="501">
        <v>2538.21</v>
      </c>
      <c r="P53" s="501">
        <v>2533.98</v>
      </c>
      <c r="Q53" s="501">
        <v>2525.4499999999998</v>
      </c>
      <c r="R53" s="501">
        <v>2497.8200000000002</v>
      </c>
      <c r="S53" s="501">
        <v>2497.3200000000002</v>
      </c>
      <c r="T53" s="501">
        <v>2513.42</v>
      </c>
      <c r="U53" s="501">
        <v>2556.5500000000002</v>
      </c>
      <c r="V53" s="501">
        <v>2613.16</v>
      </c>
      <c r="W53" s="501">
        <v>2597.11</v>
      </c>
      <c r="X53" s="501">
        <v>2554.91</v>
      </c>
      <c r="Y53" s="501">
        <v>2380.38</v>
      </c>
      <c r="Z53" s="502"/>
    </row>
    <row r="54" spans="1:26">
      <c r="A54" s="500">
        <v>45056</v>
      </c>
      <c r="B54" s="501">
        <v>2356.87</v>
      </c>
      <c r="C54" s="501">
        <v>2208.98</v>
      </c>
      <c r="D54" s="501">
        <v>2144.98</v>
      </c>
      <c r="E54" s="501">
        <v>2110.5500000000002</v>
      </c>
      <c r="F54" s="501">
        <v>2143.56</v>
      </c>
      <c r="G54" s="501">
        <v>2222.17</v>
      </c>
      <c r="H54" s="501">
        <v>2407.31</v>
      </c>
      <c r="I54" s="501">
        <v>2641.4</v>
      </c>
      <c r="J54" s="501">
        <v>2692.11</v>
      </c>
      <c r="K54" s="501">
        <v>2695.41</v>
      </c>
      <c r="L54" s="501">
        <v>2686.46</v>
      </c>
      <c r="M54" s="501">
        <v>2720.56</v>
      </c>
      <c r="N54" s="501">
        <v>2727.7</v>
      </c>
      <c r="O54" s="501">
        <v>2734.56</v>
      </c>
      <c r="P54" s="501">
        <v>2719.21</v>
      </c>
      <c r="Q54" s="501">
        <v>2708.71</v>
      </c>
      <c r="R54" s="501">
        <v>2687.97</v>
      </c>
      <c r="S54" s="501">
        <v>2667.9</v>
      </c>
      <c r="T54" s="501">
        <v>2661.15</v>
      </c>
      <c r="U54" s="501">
        <v>2647.41</v>
      </c>
      <c r="V54" s="501">
        <v>2658.68</v>
      </c>
      <c r="W54" s="501">
        <v>2663.52</v>
      </c>
      <c r="X54" s="501">
        <v>2482.37</v>
      </c>
      <c r="Y54" s="501">
        <v>2376.5700000000002</v>
      </c>
      <c r="Z54" s="502"/>
    </row>
    <row r="55" spans="1:26">
      <c r="A55" s="500">
        <v>45057</v>
      </c>
      <c r="B55" s="501">
        <v>2061.87</v>
      </c>
      <c r="C55" s="501">
        <v>1944.04</v>
      </c>
      <c r="D55" s="501">
        <v>1907.7</v>
      </c>
      <c r="E55" s="501">
        <v>1874.84</v>
      </c>
      <c r="F55" s="501">
        <v>1905.59</v>
      </c>
      <c r="G55" s="501">
        <v>2007.78</v>
      </c>
      <c r="H55" s="501">
        <v>2566.87</v>
      </c>
      <c r="I55" s="501">
        <v>2582.02</v>
      </c>
      <c r="J55" s="501">
        <v>2674.66</v>
      </c>
      <c r="K55" s="501">
        <v>2677.59</v>
      </c>
      <c r="L55" s="501">
        <v>2631.94</v>
      </c>
      <c r="M55" s="501">
        <v>2677.06</v>
      </c>
      <c r="N55" s="501">
        <v>2686.1</v>
      </c>
      <c r="O55" s="501">
        <v>2673.97</v>
      </c>
      <c r="P55" s="501">
        <v>2647.61</v>
      </c>
      <c r="Q55" s="501">
        <v>2573.7199999999998</v>
      </c>
      <c r="R55" s="501">
        <v>2521.8200000000002</v>
      </c>
      <c r="S55" s="501">
        <v>2505.61</v>
      </c>
      <c r="T55" s="501">
        <v>2488.73</v>
      </c>
      <c r="U55" s="501">
        <v>2500.58</v>
      </c>
      <c r="V55" s="501">
        <v>2530.17</v>
      </c>
      <c r="W55" s="501">
        <v>2530.62</v>
      </c>
      <c r="X55" s="501">
        <v>2399.94</v>
      </c>
      <c r="Y55" s="501">
        <v>2156.96</v>
      </c>
      <c r="Z55" s="502"/>
    </row>
    <row r="56" spans="1:26">
      <c r="A56" s="500">
        <v>45058</v>
      </c>
      <c r="B56" s="501">
        <v>2045.72</v>
      </c>
      <c r="C56" s="501">
        <v>1929.77</v>
      </c>
      <c r="D56" s="501">
        <v>1874.76</v>
      </c>
      <c r="E56" s="501">
        <v>1837.13</v>
      </c>
      <c r="F56" s="501">
        <v>1925.55</v>
      </c>
      <c r="G56" s="501">
        <v>2302.63</v>
      </c>
      <c r="H56" s="501">
        <v>2738.01</v>
      </c>
      <c r="I56" s="501">
        <v>2777.23</v>
      </c>
      <c r="J56" s="501">
        <v>2796.94</v>
      </c>
      <c r="K56" s="501">
        <v>2800.34</v>
      </c>
      <c r="L56" s="501">
        <v>2795.72</v>
      </c>
      <c r="M56" s="501">
        <v>2785.83</v>
      </c>
      <c r="N56" s="501">
        <v>2790.78</v>
      </c>
      <c r="O56" s="501">
        <v>2788.03</v>
      </c>
      <c r="P56" s="501">
        <v>2872.95</v>
      </c>
      <c r="Q56" s="501">
        <v>2876.22</v>
      </c>
      <c r="R56" s="501">
        <v>2691.9</v>
      </c>
      <c r="S56" s="501">
        <v>2689.19</v>
      </c>
      <c r="T56" s="501">
        <v>2676.08</v>
      </c>
      <c r="U56" s="501">
        <v>2675.29</v>
      </c>
      <c r="V56" s="501">
        <v>2686.29</v>
      </c>
      <c r="W56" s="501">
        <v>2649.31</v>
      </c>
      <c r="X56" s="501">
        <v>2491.7800000000002</v>
      </c>
      <c r="Y56" s="501">
        <v>2387.9499999999998</v>
      </c>
      <c r="Z56" s="502"/>
    </row>
    <row r="57" spans="1:26">
      <c r="A57" s="500">
        <v>45059</v>
      </c>
      <c r="B57" s="501">
        <v>2332.9899999999998</v>
      </c>
      <c r="C57" s="501">
        <v>2108.13</v>
      </c>
      <c r="D57" s="501">
        <v>1979.12</v>
      </c>
      <c r="E57" s="501">
        <v>1953.3</v>
      </c>
      <c r="F57" s="501">
        <v>1952.63</v>
      </c>
      <c r="G57" s="501">
        <v>1980.37</v>
      </c>
      <c r="H57" s="501">
        <v>2148.0500000000002</v>
      </c>
      <c r="I57" s="501">
        <v>2314.0300000000002</v>
      </c>
      <c r="J57" s="501">
        <v>2484.64</v>
      </c>
      <c r="K57" s="501">
        <v>2683.65</v>
      </c>
      <c r="L57" s="501">
        <v>2691.96</v>
      </c>
      <c r="M57" s="501">
        <v>2692.13</v>
      </c>
      <c r="N57" s="501">
        <v>2683.42</v>
      </c>
      <c r="O57" s="501">
        <v>2673.54</v>
      </c>
      <c r="P57" s="501">
        <v>2670.5</v>
      </c>
      <c r="Q57" s="501">
        <v>2654.98</v>
      </c>
      <c r="R57" s="501">
        <v>2612.66</v>
      </c>
      <c r="S57" s="501">
        <v>2566.5700000000002</v>
      </c>
      <c r="T57" s="501">
        <v>2562.8200000000002</v>
      </c>
      <c r="U57" s="501">
        <v>2603.9299999999998</v>
      </c>
      <c r="V57" s="501">
        <v>2622.74</v>
      </c>
      <c r="W57" s="501">
        <v>2582.3200000000002</v>
      </c>
      <c r="X57" s="501">
        <v>2518.4299999999998</v>
      </c>
      <c r="Y57" s="501">
        <v>2360.5100000000002</v>
      </c>
      <c r="Z57" s="502"/>
    </row>
    <row r="58" spans="1:26">
      <c r="A58" s="500">
        <v>45060</v>
      </c>
      <c r="B58" s="501">
        <v>2184.83</v>
      </c>
      <c r="C58" s="501">
        <v>2008.54</v>
      </c>
      <c r="D58" s="501">
        <v>1937.08</v>
      </c>
      <c r="E58" s="501">
        <v>1921.38</v>
      </c>
      <c r="F58" s="501">
        <v>1913.39</v>
      </c>
      <c r="G58" s="501">
        <v>1851.09</v>
      </c>
      <c r="H58" s="501">
        <v>1849.17</v>
      </c>
      <c r="I58" s="501">
        <v>2050.62</v>
      </c>
      <c r="J58" s="501">
        <v>2296.62</v>
      </c>
      <c r="K58" s="501">
        <v>2415.75</v>
      </c>
      <c r="L58" s="501">
        <v>2443.36</v>
      </c>
      <c r="M58" s="501">
        <v>2446.79</v>
      </c>
      <c r="N58" s="501">
        <v>2442.37</v>
      </c>
      <c r="O58" s="501">
        <v>2439.19</v>
      </c>
      <c r="P58" s="501">
        <v>2435.11</v>
      </c>
      <c r="Q58" s="501">
        <v>2439.52</v>
      </c>
      <c r="R58" s="501">
        <v>2440.36</v>
      </c>
      <c r="S58" s="501">
        <v>2418.2399999999998</v>
      </c>
      <c r="T58" s="501">
        <v>2448.29</v>
      </c>
      <c r="U58" s="501">
        <v>2518.62</v>
      </c>
      <c r="V58" s="501">
        <v>2560.81</v>
      </c>
      <c r="W58" s="501">
        <v>2519.0700000000002</v>
      </c>
      <c r="X58" s="501">
        <v>2454.6</v>
      </c>
      <c r="Y58" s="501">
        <v>2317.38</v>
      </c>
      <c r="Z58" s="502"/>
    </row>
    <row r="59" spans="1:26">
      <c r="A59" s="500">
        <v>45061</v>
      </c>
      <c r="B59" s="501">
        <v>2148.85</v>
      </c>
      <c r="C59" s="501">
        <v>1980.37</v>
      </c>
      <c r="D59" s="501">
        <v>1929.32</v>
      </c>
      <c r="E59" s="501">
        <v>1910.15</v>
      </c>
      <c r="F59" s="501">
        <v>1955.4</v>
      </c>
      <c r="G59" s="501">
        <v>2049.73</v>
      </c>
      <c r="H59" s="501">
        <v>2290.9899999999998</v>
      </c>
      <c r="I59" s="501">
        <v>2488.21</v>
      </c>
      <c r="J59" s="501">
        <v>2730.91</v>
      </c>
      <c r="K59" s="501">
        <v>2763.96</v>
      </c>
      <c r="L59" s="501">
        <v>2743.93</v>
      </c>
      <c r="M59" s="501">
        <v>2755.11</v>
      </c>
      <c r="N59" s="501">
        <v>2754.52</v>
      </c>
      <c r="O59" s="501">
        <v>2775.06</v>
      </c>
      <c r="P59" s="501">
        <v>2731.22</v>
      </c>
      <c r="Q59" s="501">
        <v>2705.2</v>
      </c>
      <c r="R59" s="501">
        <v>2686.58</v>
      </c>
      <c r="S59" s="501">
        <v>2658.86</v>
      </c>
      <c r="T59" s="501">
        <v>2631.43</v>
      </c>
      <c r="U59" s="501">
        <v>2627.35</v>
      </c>
      <c r="V59" s="501">
        <v>2654.97</v>
      </c>
      <c r="W59" s="501">
        <v>2665.67</v>
      </c>
      <c r="X59" s="501">
        <v>2468.17</v>
      </c>
      <c r="Y59" s="501">
        <v>2338.37</v>
      </c>
      <c r="Z59" s="502"/>
    </row>
    <row r="60" spans="1:26">
      <c r="A60" s="500">
        <v>45062</v>
      </c>
      <c r="B60" s="501">
        <v>2095.7600000000002</v>
      </c>
      <c r="C60" s="501">
        <v>2020.66</v>
      </c>
      <c r="D60" s="501">
        <v>1949.06</v>
      </c>
      <c r="E60" s="501">
        <v>1938.46</v>
      </c>
      <c r="F60" s="501">
        <v>1975.97</v>
      </c>
      <c r="G60" s="501">
        <v>2135.42</v>
      </c>
      <c r="H60" s="501">
        <v>2324.85</v>
      </c>
      <c r="I60" s="501">
        <v>2482.2800000000002</v>
      </c>
      <c r="J60" s="501">
        <v>2695.22</v>
      </c>
      <c r="K60" s="501">
        <v>2718.76</v>
      </c>
      <c r="L60" s="501">
        <v>2701.13</v>
      </c>
      <c r="M60" s="501">
        <v>2696.85</v>
      </c>
      <c r="N60" s="501">
        <v>2687.77</v>
      </c>
      <c r="O60" s="501">
        <v>2716.33</v>
      </c>
      <c r="P60" s="501">
        <v>2688.78</v>
      </c>
      <c r="Q60" s="501">
        <v>2603.0100000000002</v>
      </c>
      <c r="R60" s="501">
        <v>2546.92</v>
      </c>
      <c r="S60" s="501">
        <v>2527.77</v>
      </c>
      <c r="T60" s="501">
        <v>2504.4699999999998</v>
      </c>
      <c r="U60" s="501">
        <v>2518.15</v>
      </c>
      <c r="V60" s="501">
        <v>2581.2600000000002</v>
      </c>
      <c r="W60" s="501">
        <v>2637.69</v>
      </c>
      <c r="X60" s="501">
        <v>2435.39</v>
      </c>
      <c r="Y60" s="501">
        <v>2251.96</v>
      </c>
      <c r="Z60" s="502"/>
    </row>
    <row r="61" spans="1:26">
      <c r="A61" s="500">
        <v>45063</v>
      </c>
      <c r="B61" s="501">
        <v>2018.77</v>
      </c>
      <c r="C61" s="501">
        <v>1937.01</v>
      </c>
      <c r="D61" s="501">
        <v>1877.95</v>
      </c>
      <c r="E61" s="501">
        <v>1836.23</v>
      </c>
      <c r="F61" s="501">
        <v>1879.68</v>
      </c>
      <c r="G61" s="501">
        <v>2007.25</v>
      </c>
      <c r="H61" s="501">
        <v>2276.09</v>
      </c>
      <c r="I61" s="501">
        <v>2450.92</v>
      </c>
      <c r="J61" s="501">
        <v>2642.58</v>
      </c>
      <c r="K61" s="501">
        <v>2705.32</v>
      </c>
      <c r="L61" s="501">
        <v>2667.07</v>
      </c>
      <c r="M61" s="501">
        <v>2702.35</v>
      </c>
      <c r="N61" s="501">
        <v>2691.17</v>
      </c>
      <c r="O61" s="501">
        <v>2703.84</v>
      </c>
      <c r="P61" s="501">
        <v>2648.53</v>
      </c>
      <c r="Q61" s="501">
        <v>2585.02</v>
      </c>
      <c r="R61" s="501">
        <v>2523.9</v>
      </c>
      <c r="S61" s="501">
        <v>2497.75</v>
      </c>
      <c r="T61" s="501">
        <v>2484.15</v>
      </c>
      <c r="U61" s="501">
        <v>2499.41</v>
      </c>
      <c r="V61" s="501">
        <v>2536.2199999999998</v>
      </c>
      <c r="W61" s="501">
        <v>2603.75</v>
      </c>
      <c r="X61" s="501">
        <v>2445.35</v>
      </c>
      <c r="Y61" s="501">
        <v>2200.85</v>
      </c>
      <c r="Z61" s="502"/>
    </row>
    <row r="62" spans="1:26">
      <c r="A62" s="500">
        <v>45064</v>
      </c>
      <c r="B62" s="501">
        <v>2066.9</v>
      </c>
      <c r="C62" s="501">
        <v>1985.91</v>
      </c>
      <c r="D62" s="501">
        <v>1889.29</v>
      </c>
      <c r="E62" s="501">
        <v>1872.84</v>
      </c>
      <c r="F62" s="501">
        <v>1949.8</v>
      </c>
      <c r="G62" s="501">
        <v>2055.98</v>
      </c>
      <c r="H62" s="501">
        <v>2251.91</v>
      </c>
      <c r="I62" s="501">
        <v>2450.83</v>
      </c>
      <c r="J62" s="501">
        <v>2641.02</v>
      </c>
      <c r="K62" s="501">
        <v>2680.52</v>
      </c>
      <c r="L62" s="501">
        <v>2658.18</v>
      </c>
      <c r="M62" s="501">
        <v>2665.37</v>
      </c>
      <c r="N62" s="501">
        <v>2661.58</v>
      </c>
      <c r="O62" s="501">
        <v>2676.68</v>
      </c>
      <c r="P62" s="501">
        <v>2663.75</v>
      </c>
      <c r="Q62" s="501">
        <v>2649.23</v>
      </c>
      <c r="R62" s="501">
        <v>2654.04</v>
      </c>
      <c r="S62" s="501">
        <v>2652.4</v>
      </c>
      <c r="T62" s="501">
        <v>2641</v>
      </c>
      <c r="U62" s="501">
        <v>2663.79</v>
      </c>
      <c r="V62" s="501">
        <v>2669.54</v>
      </c>
      <c r="W62" s="501">
        <v>2676.62</v>
      </c>
      <c r="X62" s="501">
        <v>2481.9899999999998</v>
      </c>
      <c r="Y62" s="501">
        <v>2320.71</v>
      </c>
      <c r="Z62" s="502"/>
    </row>
    <row r="63" spans="1:26">
      <c r="A63" s="500">
        <v>45065</v>
      </c>
      <c r="B63" s="501">
        <v>2062.2399999999998</v>
      </c>
      <c r="C63" s="501">
        <v>1927.36</v>
      </c>
      <c r="D63" s="501">
        <v>1846.76</v>
      </c>
      <c r="E63" s="501">
        <v>1813.12</v>
      </c>
      <c r="F63" s="501">
        <v>1843.22</v>
      </c>
      <c r="G63" s="501">
        <v>2113.19</v>
      </c>
      <c r="H63" s="501">
        <v>2293.4</v>
      </c>
      <c r="I63" s="501">
        <v>2552.04</v>
      </c>
      <c r="J63" s="501">
        <v>2740.1</v>
      </c>
      <c r="K63" s="501">
        <v>2790.19</v>
      </c>
      <c r="L63" s="501">
        <v>2777.71</v>
      </c>
      <c r="M63" s="501">
        <v>2792.87</v>
      </c>
      <c r="N63" s="501">
        <v>2793.31</v>
      </c>
      <c r="O63" s="501">
        <v>2795.82</v>
      </c>
      <c r="P63" s="501">
        <v>2782.15</v>
      </c>
      <c r="Q63" s="501">
        <v>2767.87</v>
      </c>
      <c r="R63" s="501">
        <v>2739.68</v>
      </c>
      <c r="S63" s="501">
        <v>2722.65</v>
      </c>
      <c r="T63" s="501">
        <v>2700.87</v>
      </c>
      <c r="U63" s="501">
        <v>2702.52</v>
      </c>
      <c r="V63" s="501">
        <v>2715.59</v>
      </c>
      <c r="W63" s="501">
        <v>2714.59</v>
      </c>
      <c r="X63" s="501">
        <v>2550.6799999999998</v>
      </c>
      <c r="Y63" s="501">
        <v>2347.37</v>
      </c>
      <c r="Z63" s="502"/>
    </row>
    <row r="64" spans="1:26">
      <c r="A64" s="500">
        <v>45066</v>
      </c>
      <c r="B64" s="501">
        <v>2342.87</v>
      </c>
      <c r="C64" s="501">
        <v>2228.0100000000002</v>
      </c>
      <c r="D64" s="501">
        <v>2156.06</v>
      </c>
      <c r="E64" s="501">
        <v>2055.4299999999998</v>
      </c>
      <c r="F64" s="501">
        <v>2052.7199999999998</v>
      </c>
      <c r="G64" s="501">
        <v>2114.0500000000002</v>
      </c>
      <c r="H64" s="501">
        <v>2220.63</v>
      </c>
      <c r="I64" s="501">
        <v>2400.0300000000002</v>
      </c>
      <c r="J64" s="501">
        <v>2601.14</v>
      </c>
      <c r="K64" s="501">
        <v>2733.11</v>
      </c>
      <c r="L64" s="501">
        <v>2771.09</v>
      </c>
      <c r="M64" s="501">
        <v>2753.57</v>
      </c>
      <c r="N64" s="501">
        <v>2679.57</v>
      </c>
      <c r="O64" s="501">
        <v>2654.73</v>
      </c>
      <c r="P64" s="501">
        <v>2642.37</v>
      </c>
      <c r="Q64" s="501">
        <v>2609.71</v>
      </c>
      <c r="R64" s="501">
        <v>2595.5700000000002</v>
      </c>
      <c r="S64" s="501">
        <v>2567.5</v>
      </c>
      <c r="T64" s="501">
        <v>2571.8000000000002</v>
      </c>
      <c r="U64" s="501">
        <v>2607.14</v>
      </c>
      <c r="V64" s="501">
        <v>2642.55</v>
      </c>
      <c r="W64" s="501">
        <v>2610.66</v>
      </c>
      <c r="X64" s="501">
        <v>2467.5300000000002</v>
      </c>
      <c r="Y64" s="501">
        <v>2305.2800000000002</v>
      </c>
      <c r="Z64" s="502"/>
    </row>
    <row r="65" spans="1:26">
      <c r="A65" s="500">
        <v>45067</v>
      </c>
      <c r="B65" s="501">
        <v>2281.5</v>
      </c>
      <c r="C65" s="501">
        <v>2152.87</v>
      </c>
      <c r="D65" s="501">
        <v>2042.35</v>
      </c>
      <c r="E65" s="501">
        <v>1968.25</v>
      </c>
      <c r="F65" s="501">
        <v>1964.65</v>
      </c>
      <c r="G65" s="501">
        <v>1936.51</v>
      </c>
      <c r="H65" s="501">
        <v>2019.9</v>
      </c>
      <c r="I65" s="501">
        <v>2245.75</v>
      </c>
      <c r="J65" s="501">
        <v>2413.61</v>
      </c>
      <c r="K65" s="501">
        <v>2529.98</v>
      </c>
      <c r="L65" s="501">
        <v>2565.1999999999998</v>
      </c>
      <c r="M65" s="501">
        <v>2573.5700000000002</v>
      </c>
      <c r="N65" s="501">
        <v>2568.33</v>
      </c>
      <c r="O65" s="501">
        <v>2560.5100000000002</v>
      </c>
      <c r="P65" s="501">
        <v>2563.46</v>
      </c>
      <c r="Q65" s="501">
        <v>2565.5500000000002</v>
      </c>
      <c r="R65" s="501">
        <v>2560.73</v>
      </c>
      <c r="S65" s="501">
        <v>2554.6</v>
      </c>
      <c r="T65" s="501">
        <v>2616.39</v>
      </c>
      <c r="U65" s="501">
        <v>2702.01</v>
      </c>
      <c r="V65" s="501">
        <v>2732.12</v>
      </c>
      <c r="W65" s="501">
        <v>2668.77</v>
      </c>
      <c r="X65" s="501">
        <v>2520.0500000000002</v>
      </c>
      <c r="Y65" s="501">
        <v>2349.41</v>
      </c>
      <c r="Z65" s="502"/>
    </row>
    <row r="66" spans="1:26">
      <c r="A66" s="500">
        <v>45068</v>
      </c>
      <c r="B66" s="501">
        <v>2162.64</v>
      </c>
      <c r="C66" s="501">
        <v>2024.71</v>
      </c>
      <c r="D66" s="501">
        <v>1963.84</v>
      </c>
      <c r="E66" s="501">
        <v>1959.44</v>
      </c>
      <c r="F66" s="501">
        <v>1962.23</v>
      </c>
      <c r="G66" s="501">
        <v>2025.43</v>
      </c>
      <c r="H66" s="501">
        <v>2279.15</v>
      </c>
      <c r="I66" s="501">
        <v>2524.6999999999998</v>
      </c>
      <c r="J66" s="501">
        <v>2751.26</v>
      </c>
      <c r="K66" s="501">
        <v>2796.9</v>
      </c>
      <c r="L66" s="501">
        <v>2778.66</v>
      </c>
      <c r="M66" s="501">
        <v>2777.53</v>
      </c>
      <c r="N66" s="501">
        <v>2733.2</v>
      </c>
      <c r="O66" s="501">
        <v>2762.14</v>
      </c>
      <c r="P66" s="501">
        <v>2742.44</v>
      </c>
      <c r="Q66" s="501">
        <v>2713.94</v>
      </c>
      <c r="R66" s="501">
        <v>2694.56</v>
      </c>
      <c r="S66" s="501">
        <v>2702.32</v>
      </c>
      <c r="T66" s="501">
        <v>2685.06</v>
      </c>
      <c r="U66" s="501">
        <v>2659.2</v>
      </c>
      <c r="V66" s="501">
        <v>2689.12</v>
      </c>
      <c r="W66" s="501">
        <v>2715.93</v>
      </c>
      <c r="X66" s="501">
        <v>2456.61</v>
      </c>
      <c r="Y66" s="501">
        <v>2283.62</v>
      </c>
      <c r="Z66" s="502"/>
    </row>
    <row r="67" spans="1:26">
      <c r="A67" s="500">
        <v>45069</v>
      </c>
      <c r="B67" s="501">
        <v>2180.5300000000002</v>
      </c>
      <c r="C67" s="501">
        <v>2037.57</v>
      </c>
      <c r="D67" s="501">
        <v>1952.99</v>
      </c>
      <c r="E67" s="501">
        <v>1925.52</v>
      </c>
      <c r="F67" s="501">
        <v>2087.77</v>
      </c>
      <c r="G67" s="501">
        <v>2247.15</v>
      </c>
      <c r="H67" s="501">
        <v>2340.02</v>
      </c>
      <c r="I67" s="501">
        <v>2527.25</v>
      </c>
      <c r="J67" s="501">
        <v>2707.66</v>
      </c>
      <c r="K67" s="501">
        <v>2748.83</v>
      </c>
      <c r="L67" s="501">
        <v>2692.72</v>
      </c>
      <c r="M67" s="501">
        <v>2758.98</v>
      </c>
      <c r="N67" s="501">
        <v>2765.46</v>
      </c>
      <c r="O67" s="501">
        <v>2779.26</v>
      </c>
      <c r="P67" s="501">
        <v>2743.93</v>
      </c>
      <c r="Q67" s="501">
        <v>2721.58</v>
      </c>
      <c r="R67" s="501">
        <v>2704.69</v>
      </c>
      <c r="S67" s="501">
        <v>2675.24</v>
      </c>
      <c r="T67" s="501">
        <v>2646.64</v>
      </c>
      <c r="U67" s="501">
        <v>2634.62</v>
      </c>
      <c r="V67" s="501">
        <v>2637.63</v>
      </c>
      <c r="W67" s="501">
        <v>2634.64</v>
      </c>
      <c r="X67" s="501">
        <v>2468.8200000000002</v>
      </c>
      <c r="Y67" s="501">
        <v>2237.19</v>
      </c>
      <c r="Z67" s="502"/>
    </row>
    <row r="68" spans="1:26">
      <c r="A68" s="500">
        <v>45070</v>
      </c>
      <c r="B68" s="501">
        <v>2200.91</v>
      </c>
      <c r="C68" s="501">
        <v>2003.28</v>
      </c>
      <c r="D68" s="501">
        <v>1972.07</v>
      </c>
      <c r="E68" s="501">
        <v>1937.24</v>
      </c>
      <c r="F68" s="501">
        <v>1959.13</v>
      </c>
      <c r="G68" s="501">
        <v>2154.02</v>
      </c>
      <c r="H68" s="501">
        <v>2480.0700000000002</v>
      </c>
      <c r="I68" s="501">
        <v>2648.1</v>
      </c>
      <c r="J68" s="501">
        <v>2745.93</v>
      </c>
      <c r="K68" s="501">
        <v>2760.61</v>
      </c>
      <c r="L68" s="501">
        <v>2751.38</v>
      </c>
      <c r="M68" s="501">
        <v>2741.71</v>
      </c>
      <c r="N68" s="501">
        <v>2737.53</v>
      </c>
      <c r="O68" s="501">
        <v>2743.12</v>
      </c>
      <c r="P68" s="501">
        <v>2738.1</v>
      </c>
      <c r="Q68" s="501">
        <v>2744.99</v>
      </c>
      <c r="R68" s="501">
        <v>2731.54</v>
      </c>
      <c r="S68" s="501">
        <v>2724.45</v>
      </c>
      <c r="T68" s="501">
        <v>2721.93</v>
      </c>
      <c r="U68" s="501">
        <v>2724.43</v>
      </c>
      <c r="V68" s="501">
        <v>2726.65</v>
      </c>
      <c r="W68" s="501">
        <v>2717.12</v>
      </c>
      <c r="X68" s="501">
        <v>2613.81</v>
      </c>
      <c r="Y68" s="501">
        <v>2315.44</v>
      </c>
      <c r="Z68" s="502"/>
    </row>
    <row r="69" spans="1:26">
      <c r="A69" s="500">
        <v>45071</v>
      </c>
      <c r="B69" s="501">
        <v>2040.76</v>
      </c>
      <c r="C69" s="501">
        <v>1940.28</v>
      </c>
      <c r="D69" s="501">
        <v>1885.61</v>
      </c>
      <c r="E69" s="501">
        <v>1846.66</v>
      </c>
      <c r="F69" s="501">
        <v>1859.75</v>
      </c>
      <c r="G69" s="501">
        <v>2043.91</v>
      </c>
      <c r="H69" s="501">
        <v>2442.5300000000002</v>
      </c>
      <c r="I69" s="501">
        <v>2601.9699999999998</v>
      </c>
      <c r="J69" s="501">
        <v>2770.94</v>
      </c>
      <c r="K69" s="501">
        <v>2768.7</v>
      </c>
      <c r="L69" s="501">
        <v>2763.33</v>
      </c>
      <c r="M69" s="501">
        <v>2759.02</v>
      </c>
      <c r="N69" s="501">
        <v>2761.44</v>
      </c>
      <c r="O69" s="501">
        <v>2760.08</v>
      </c>
      <c r="P69" s="501">
        <v>2778.3</v>
      </c>
      <c r="Q69" s="501">
        <v>2775.98</v>
      </c>
      <c r="R69" s="501">
        <v>2754.81</v>
      </c>
      <c r="S69" s="501">
        <v>2751.34</v>
      </c>
      <c r="T69" s="501">
        <v>2748.82</v>
      </c>
      <c r="U69" s="501">
        <v>2753.01</v>
      </c>
      <c r="V69" s="501">
        <v>2756.63</v>
      </c>
      <c r="W69" s="501">
        <v>2741.47</v>
      </c>
      <c r="X69" s="501">
        <v>2638.75</v>
      </c>
      <c r="Y69" s="501">
        <v>2250.46</v>
      </c>
      <c r="Z69" s="502"/>
    </row>
    <row r="70" spans="1:26">
      <c r="A70" s="500">
        <v>45072</v>
      </c>
      <c r="B70" s="501">
        <v>2135.1</v>
      </c>
      <c r="C70" s="501">
        <v>2004.92</v>
      </c>
      <c r="D70" s="501">
        <v>1947.91</v>
      </c>
      <c r="E70" s="501">
        <v>1911.66</v>
      </c>
      <c r="F70" s="501">
        <v>1947.77</v>
      </c>
      <c r="G70" s="501">
        <v>2069.31</v>
      </c>
      <c r="H70" s="501">
        <v>2484.75</v>
      </c>
      <c r="I70" s="501">
        <v>2652.94</v>
      </c>
      <c r="J70" s="501">
        <v>2854.05</v>
      </c>
      <c r="K70" s="501">
        <v>2858.7</v>
      </c>
      <c r="L70" s="501">
        <v>2856.58</v>
      </c>
      <c r="M70" s="501">
        <v>2852.72</v>
      </c>
      <c r="N70" s="501">
        <v>2855.07</v>
      </c>
      <c r="O70" s="501">
        <v>2855.25</v>
      </c>
      <c r="P70" s="501">
        <v>2868.7</v>
      </c>
      <c r="Q70" s="501">
        <v>2863.28</v>
      </c>
      <c r="R70" s="501">
        <v>2840.08</v>
      </c>
      <c r="S70" s="501">
        <v>2835.03</v>
      </c>
      <c r="T70" s="501">
        <v>2830.9</v>
      </c>
      <c r="U70" s="501">
        <v>2828.43</v>
      </c>
      <c r="V70" s="501">
        <v>2835.53</v>
      </c>
      <c r="W70" s="501">
        <v>2823.36</v>
      </c>
      <c r="X70" s="501">
        <v>2760.75</v>
      </c>
      <c r="Y70" s="501">
        <v>2490.34</v>
      </c>
      <c r="Z70" s="502"/>
    </row>
    <row r="71" spans="1:26">
      <c r="A71" s="500">
        <v>45073</v>
      </c>
      <c r="B71" s="501">
        <v>2428.29</v>
      </c>
      <c r="C71" s="501">
        <v>2193.5700000000002</v>
      </c>
      <c r="D71" s="501">
        <v>2056.9699999999998</v>
      </c>
      <c r="E71" s="501">
        <v>2018.01</v>
      </c>
      <c r="F71" s="501">
        <v>2001.86</v>
      </c>
      <c r="G71" s="501">
        <v>1989.13</v>
      </c>
      <c r="H71" s="501">
        <v>2321.69</v>
      </c>
      <c r="I71" s="501">
        <v>2483.9699999999998</v>
      </c>
      <c r="J71" s="501">
        <v>2730.73</v>
      </c>
      <c r="K71" s="501">
        <v>2782.61</v>
      </c>
      <c r="L71" s="501">
        <v>2781.97</v>
      </c>
      <c r="M71" s="501">
        <v>2781.39</v>
      </c>
      <c r="N71" s="501">
        <v>2779.96</v>
      </c>
      <c r="O71" s="501">
        <v>2774.95</v>
      </c>
      <c r="P71" s="501">
        <v>2767.4</v>
      </c>
      <c r="Q71" s="501">
        <v>2764.56</v>
      </c>
      <c r="R71" s="501">
        <v>2765.62</v>
      </c>
      <c r="S71" s="501">
        <v>2741.24</v>
      </c>
      <c r="T71" s="501">
        <v>2738.2</v>
      </c>
      <c r="U71" s="501">
        <v>2743.11</v>
      </c>
      <c r="V71" s="501">
        <v>2774.93</v>
      </c>
      <c r="W71" s="501">
        <v>2766.25</v>
      </c>
      <c r="X71" s="501">
        <v>2703.42</v>
      </c>
      <c r="Y71" s="501">
        <v>2390.58</v>
      </c>
      <c r="Z71" s="502"/>
    </row>
    <row r="72" spans="1:26">
      <c r="A72" s="500">
        <v>45074</v>
      </c>
      <c r="B72" s="501">
        <v>2302.63</v>
      </c>
      <c r="C72" s="501">
        <v>2141.6999999999998</v>
      </c>
      <c r="D72" s="501">
        <v>2026.84</v>
      </c>
      <c r="E72" s="501">
        <v>1999.1</v>
      </c>
      <c r="F72" s="501">
        <v>1977.3</v>
      </c>
      <c r="G72" s="501">
        <v>1966.67</v>
      </c>
      <c r="H72" s="501">
        <v>2181.15</v>
      </c>
      <c r="I72" s="501">
        <v>2337.1999999999998</v>
      </c>
      <c r="J72" s="501">
        <v>2586.8000000000002</v>
      </c>
      <c r="K72" s="501">
        <v>2724.92</v>
      </c>
      <c r="L72" s="501">
        <v>2730.17</v>
      </c>
      <c r="M72" s="501">
        <v>2728.58</v>
      </c>
      <c r="N72" s="501">
        <v>2728.3</v>
      </c>
      <c r="O72" s="501">
        <v>2728.41</v>
      </c>
      <c r="P72" s="501">
        <v>2728.12</v>
      </c>
      <c r="Q72" s="501">
        <v>2729.15</v>
      </c>
      <c r="R72" s="501">
        <v>2735.59</v>
      </c>
      <c r="S72" s="501">
        <v>2738.16</v>
      </c>
      <c r="T72" s="501">
        <v>2736.25</v>
      </c>
      <c r="U72" s="501">
        <v>2733.13</v>
      </c>
      <c r="V72" s="501">
        <v>2745.07</v>
      </c>
      <c r="W72" s="501">
        <v>2735.59</v>
      </c>
      <c r="X72" s="501">
        <v>2657.8</v>
      </c>
      <c r="Y72" s="501">
        <v>2373.04</v>
      </c>
      <c r="Z72" s="502"/>
    </row>
    <row r="73" spans="1:26">
      <c r="A73" s="500">
        <v>45075</v>
      </c>
      <c r="B73" s="501">
        <v>2228.16</v>
      </c>
      <c r="C73" s="501">
        <v>2072.86</v>
      </c>
      <c r="D73" s="501">
        <v>1987.89</v>
      </c>
      <c r="E73" s="501">
        <v>1952.2</v>
      </c>
      <c r="F73" s="501">
        <v>1974.1</v>
      </c>
      <c r="G73" s="501">
        <v>2058.5100000000002</v>
      </c>
      <c r="H73" s="501">
        <v>2492.67</v>
      </c>
      <c r="I73" s="501">
        <v>2718.78</v>
      </c>
      <c r="J73" s="501">
        <v>2806.15</v>
      </c>
      <c r="K73" s="501">
        <v>2807.75</v>
      </c>
      <c r="L73" s="501">
        <v>2804.67</v>
      </c>
      <c r="M73" s="501">
        <v>2803.54</v>
      </c>
      <c r="N73" s="501">
        <v>2805.41</v>
      </c>
      <c r="O73" s="501">
        <v>2803.4</v>
      </c>
      <c r="P73" s="501">
        <v>2800.9</v>
      </c>
      <c r="Q73" s="501">
        <v>2795.06</v>
      </c>
      <c r="R73" s="501">
        <v>2790.29</v>
      </c>
      <c r="S73" s="501">
        <v>2788.95</v>
      </c>
      <c r="T73" s="501">
        <v>2784.28</v>
      </c>
      <c r="U73" s="501">
        <v>2785.34</v>
      </c>
      <c r="V73" s="501">
        <v>2785.9</v>
      </c>
      <c r="W73" s="501">
        <v>2777.26</v>
      </c>
      <c r="X73" s="501">
        <v>2731</v>
      </c>
      <c r="Y73" s="501">
        <v>2344.5300000000002</v>
      </c>
      <c r="Z73" s="502"/>
    </row>
    <row r="74" spans="1:26">
      <c r="A74" s="500">
        <v>45076</v>
      </c>
      <c r="B74" s="501">
        <v>2154.08</v>
      </c>
      <c r="C74" s="501">
        <v>2018.44</v>
      </c>
      <c r="D74" s="501">
        <v>1993.32</v>
      </c>
      <c r="E74" s="501">
        <v>1969.95</v>
      </c>
      <c r="F74" s="501">
        <v>1995.12</v>
      </c>
      <c r="G74" s="501">
        <v>2159.67</v>
      </c>
      <c r="H74" s="501">
        <v>2494.65</v>
      </c>
      <c r="I74" s="501">
        <v>2733.56</v>
      </c>
      <c r="J74" s="501">
        <v>2847.91</v>
      </c>
      <c r="K74" s="501">
        <v>2849.82</v>
      </c>
      <c r="L74" s="501">
        <v>2848.1</v>
      </c>
      <c r="M74" s="501">
        <v>2844.31</v>
      </c>
      <c r="N74" s="501">
        <v>2847.66</v>
      </c>
      <c r="O74" s="501">
        <v>2847</v>
      </c>
      <c r="P74" s="501">
        <v>2844.64</v>
      </c>
      <c r="Q74" s="501">
        <v>2840.09</v>
      </c>
      <c r="R74" s="501">
        <v>2835.16</v>
      </c>
      <c r="S74" s="501">
        <v>2831.42</v>
      </c>
      <c r="T74" s="501">
        <v>2825.26</v>
      </c>
      <c r="U74" s="501">
        <v>2824.55</v>
      </c>
      <c r="V74" s="501">
        <v>2826.39</v>
      </c>
      <c r="W74" s="501">
        <v>2804.32</v>
      </c>
      <c r="X74" s="501">
        <v>2712.92</v>
      </c>
      <c r="Y74" s="501">
        <v>2372.2600000000002</v>
      </c>
      <c r="Z74" s="502"/>
    </row>
    <row r="75" spans="1:26">
      <c r="A75" s="500">
        <v>45077</v>
      </c>
      <c r="B75" s="501">
        <v>2106.11</v>
      </c>
      <c r="C75" s="501">
        <v>1980.55</v>
      </c>
      <c r="D75" s="501">
        <v>1920.05</v>
      </c>
      <c r="E75" s="501">
        <v>1886.37</v>
      </c>
      <c r="F75" s="501">
        <v>1882.37</v>
      </c>
      <c r="G75" s="501">
        <v>2047.36</v>
      </c>
      <c r="H75" s="501">
        <v>2448.52</v>
      </c>
      <c r="I75" s="501">
        <v>2686.28</v>
      </c>
      <c r="J75" s="501">
        <v>2872.16</v>
      </c>
      <c r="K75" s="501">
        <v>2872.33</v>
      </c>
      <c r="L75" s="501">
        <v>2869.88</v>
      </c>
      <c r="M75" s="501">
        <v>2866.09</v>
      </c>
      <c r="N75" s="501">
        <v>2869.47</v>
      </c>
      <c r="O75" s="501">
        <v>2866.14</v>
      </c>
      <c r="P75" s="501">
        <v>2856.99</v>
      </c>
      <c r="Q75" s="501">
        <v>2849.62</v>
      </c>
      <c r="R75" s="501">
        <v>2846.39</v>
      </c>
      <c r="S75" s="501">
        <v>2844.32</v>
      </c>
      <c r="T75" s="501">
        <v>2842.25</v>
      </c>
      <c r="U75" s="501">
        <v>2844.43</v>
      </c>
      <c r="V75" s="501">
        <v>2848.18</v>
      </c>
      <c r="W75" s="501">
        <v>2829</v>
      </c>
      <c r="X75" s="501">
        <v>2731.45</v>
      </c>
      <c r="Y75" s="501">
        <v>2428.58</v>
      </c>
      <c r="Z75" s="502"/>
    </row>
    <row r="76" spans="1:26">
      <c r="A76" s="503"/>
      <c r="B76" s="504"/>
      <c r="C76" s="489"/>
      <c r="D76" s="489"/>
      <c r="E76" s="489"/>
      <c r="F76" s="489"/>
      <c r="G76" s="489"/>
      <c r="H76" s="489"/>
      <c r="I76" s="489"/>
      <c r="J76" s="489"/>
      <c r="K76" s="491"/>
      <c r="L76" s="491"/>
      <c r="M76" s="491"/>
      <c r="N76" s="491"/>
      <c r="O76" s="491"/>
      <c r="P76" s="491"/>
      <c r="Q76" s="491"/>
      <c r="R76" s="491"/>
      <c r="S76" s="491"/>
      <c r="T76" s="491"/>
      <c r="U76" s="491"/>
      <c r="V76" s="491"/>
      <c r="W76" s="491"/>
      <c r="X76" s="491"/>
      <c r="Y76" s="491"/>
      <c r="Z76" s="505"/>
    </row>
    <row r="77" spans="1:26">
      <c r="A77" s="503"/>
      <c r="B77" s="504"/>
      <c r="C77" s="489"/>
      <c r="D77" s="489"/>
      <c r="E77" s="489"/>
      <c r="F77" s="489"/>
      <c r="G77" s="489"/>
      <c r="H77" s="489"/>
      <c r="I77" s="489"/>
      <c r="J77" s="489"/>
      <c r="K77" s="491"/>
      <c r="L77" s="491"/>
      <c r="M77" s="491"/>
      <c r="N77" s="491"/>
      <c r="O77" s="491"/>
      <c r="P77" s="491"/>
      <c r="Q77" s="491"/>
      <c r="R77" s="491"/>
      <c r="S77" s="491"/>
      <c r="T77" s="491"/>
      <c r="U77" s="491"/>
      <c r="V77" s="491"/>
      <c r="W77" s="491"/>
      <c r="X77" s="491"/>
      <c r="Y77" s="491"/>
      <c r="Z77" s="505"/>
    </row>
    <row r="78" spans="1:26" ht="16">
      <c r="A78" s="495" t="s">
        <v>711</v>
      </c>
      <c r="B78" s="866" t="s">
        <v>738</v>
      </c>
      <c r="C78" s="866"/>
      <c r="D78" s="866"/>
      <c r="E78" s="866"/>
      <c r="F78" s="866"/>
      <c r="G78" s="866"/>
      <c r="H78" s="866"/>
      <c r="I78" s="866"/>
      <c r="J78" s="866"/>
      <c r="K78" s="866"/>
      <c r="L78" s="866"/>
      <c r="M78" s="866"/>
      <c r="N78" s="866"/>
      <c r="O78" s="866"/>
      <c r="P78" s="866"/>
      <c r="Q78" s="866"/>
      <c r="R78" s="866"/>
      <c r="S78" s="866"/>
      <c r="T78" s="866"/>
      <c r="U78" s="866"/>
      <c r="V78" s="866"/>
      <c r="W78" s="866"/>
      <c r="X78" s="866"/>
      <c r="Y78" s="866"/>
      <c r="Z78" s="496"/>
    </row>
    <row r="79" spans="1:26" ht="17">
      <c r="A79" s="497" t="s">
        <v>280</v>
      </c>
      <c r="B79" s="498" t="s">
        <v>713</v>
      </c>
      <c r="C79" s="498" t="s">
        <v>714</v>
      </c>
      <c r="D79" s="498" t="s">
        <v>715</v>
      </c>
      <c r="E79" s="498" t="s">
        <v>716</v>
      </c>
      <c r="F79" s="498" t="s">
        <v>717</v>
      </c>
      <c r="G79" s="498" t="s">
        <v>718</v>
      </c>
      <c r="H79" s="498" t="s">
        <v>719</v>
      </c>
      <c r="I79" s="498" t="s">
        <v>720</v>
      </c>
      <c r="J79" s="498" t="s">
        <v>721</v>
      </c>
      <c r="K79" s="498" t="s">
        <v>722</v>
      </c>
      <c r="L79" s="498" t="s">
        <v>723</v>
      </c>
      <c r="M79" s="498" t="s">
        <v>724</v>
      </c>
      <c r="N79" s="498" t="s">
        <v>725</v>
      </c>
      <c r="O79" s="498" t="s">
        <v>726</v>
      </c>
      <c r="P79" s="498" t="s">
        <v>727</v>
      </c>
      <c r="Q79" s="498" t="s">
        <v>728</v>
      </c>
      <c r="R79" s="498" t="s">
        <v>729</v>
      </c>
      <c r="S79" s="498" t="s">
        <v>730</v>
      </c>
      <c r="T79" s="498" t="s">
        <v>731</v>
      </c>
      <c r="U79" s="498" t="s">
        <v>732</v>
      </c>
      <c r="V79" s="498" t="s">
        <v>733</v>
      </c>
      <c r="W79" s="498" t="s">
        <v>734</v>
      </c>
      <c r="X79" s="498" t="s">
        <v>735</v>
      </c>
      <c r="Y79" s="498" t="s">
        <v>736</v>
      </c>
      <c r="Z79" s="499"/>
    </row>
    <row r="80" spans="1:26">
      <c r="A80" s="500">
        <v>45047</v>
      </c>
      <c r="B80" s="501">
        <v>2501.9699999999998</v>
      </c>
      <c r="C80" s="501">
        <v>2400.71</v>
      </c>
      <c r="D80" s="501">
        <v>2335.58</v>
      </c>
      <c r="E80" s="501">
        <v>2279.4</v>
      </c>
      <c r="F80" s="501">
        <v>2264.33</v>
      </c>
      <c r="G80" s="501">
        <v>2288.5100000000002</v>
      </c>
      <c r="H80" s="501">
        <v>2343.08</v>
      </c>
      <c r="I80" s="501">
        <v>2476.87</v>
      </c>
      <c r="J80" s="501">
        <v>2698.41</v>
      </c>
      <c r="K80" s="501">
        <v>2835.52</v>
      </c>
      <c r="L80" s="501">
        <v>2841.76</v>
      </c>
      <c r="M80" s="501">
        <v>2827.97</v>
      </c>
      <c r="N80" s="501">
        <v>2811.32</v>
      </c>
      <c r="O80" s="501">
        <v>2801.82</v>
      </c>
      <c r="P80" s="501">
        <v>2779.91</v>
      </c>
      <c r="Q80" s="501">
        <v>2760.51</v>
      </c>
      <c r="R80" s="501">
        <v>2758.17</v>
      </c>
      <c r="S80" s="501">
        <v>2771.89</v>
      </c>
      <c r="T80" s="501">
        <v>2836.72</v>
      </c>
      <c r="U80" s="501">
        <v>2897.9</v>
      </c>
      <c r="V80" s="501">
        <v>2928.49</v>
      </c>
      <c r="W80" s="501">
        <v>2869.41</v>
      </c>
      <c r="X80" s="501">
        <v>2773.19</v>
      </c>
      <c r="Y80" s="501">
        <v>2574.35</v>
      </c>
      <c r="Z80" s="502"/>
    </row>
    <row r="81" spans="1:26">
      <c r="A81" s="500">
        <v>45048</v>
      </c>
      <c r="B81" s="501">
        <v>2336.58</v>
      </c>
      <c r="C81" s="501">
        <v>2191.3200000000002</v>
      </c>
      <c r="D81" s="501">
        <v>2118.5100000000002</v>
      </c>
      <c r="E81" s="501">
        <v>2123.91</v>
      </c>
      <c r="F81" s="501">
        <v>2162.7399999999998</v>
      </c>
      <c r="G81" s="501">
        <v>2292.87</v>
      </c>
      <c r="H81" s="501">
        <v>2495.73</v>
      </c>
      <c r="I81" s="501">
        <v>2724.88</v>
      </c>
      <c r="J81" s="501">
        <v>2856.46</v>
      </c>
      <c r="K81" s="501">
        <v>2860.15</v>
      </c>
      <c r="L81" s="501">
        <v>2836.49</v>
      </c>
      <c r="M81" s="501">
        <v>2853.34</v>
      </c>
      <c r="N81" s="501">
        <v>2870.32</v>
      </c>
      <c r="O81" s="501">
        <v>2872.32</v>
      </c>
      <c r="P81" s="501">
        <v>2841.6</v>
      </c>
      <c r="Q81" s="501">
        <v>2804.46</v>
      </c>
      <c r="R81" s="501">
        <v>2783.44</v>
      </c>
      <c r="S81" s="501">
        <v>2774.9</v>
      </c>
      <c r="T81" s="501">
        <v>2772.02</v>
      </c>
      <c r="U81" s="501">
        <v>2778.33</v>
      </c>
      <c r="V81" s="501">
        <v>2794.06</v>
      </c>
      <c r="W81" s="501">
        <v>2770.28</v>
      </c>
      <c r="X81" s="501">
        <v>2600.7199999999998</v>
      </c>
      <c r="Y81" s="501">
        <v>2349.44</v>
      </c>
      <c r="Z81" s="502"/>
    </row>
    <row r="82" spans="1:26">
      <c r="A82" s="500">
        <v>45049</v>
      </c>
      <c r="B82" s="501">
        <v>2215.66</v>
      </c>
      <c r="C82" s="501">
        <v>2098.1799999999998</v>
      </c>
      <c r="D82" s="501">
        <v>2086.19</v>
      </c>
      <c r="E82" s="501">
        <v>2095.4299999999998</v>
      </c>
      <c r="F82" s="501">
        <v>2129.08</v>
      </c>
      <c r="G82" s="501">
        <v>2249.16</v>
      </c>
      <c r="H82" s="501">
        <v>2433.9299999999998</v>
      </c>
      <c r="I82" s="501">
        <v>2633.11</v>
      </c>
      <c r="J82" s="501">
        <v>2786.15</v>
      </c>
      <c r="K82" s="501">
        <v>2835.36</v>
      </c>
      <c r="L82" s="501">
        <v>2832.32</v>
      </c>
      <c r="M82" s="501">
        <v>2818.02</v>
      </c>
      <c r="N82" s="501">
        <v>2822.37</v>
      </c>
      <c r="O82" s="501">
        <v>2828.7</v>
      </c>
      <c r="P82" s="501">
        <v>2815.61</v>
      </c>
      <c r="Q82" s="501">
        <v>2813.23</v>
      </c>
      <c r="R82" s="501">
        <v>2824.08</v>
      </c>
      <c r="S82" s="501">
        <v>2816.67</v>
      </c>
      <c r="T82" s="501">
        <v>2796.93</v>
      </c>
      <c r="U82" s="501">
        <v>2814.35</v>
      </c>
      <c r="V82" s="501">
        <v>2811.09</v>
      </c>
      <c r="W82" s="501">
        <v>2777.18</v>
      </c>
      <c r="X82" s="501">
        <v>2571.5100000000002</v>
      </c>
      <c r="Y82" s="501">
        <v>2376.17</v>
      </c>
      <c r="Z82" s="502"/>
    </row>
    <row r="83" spans="1:26">
      <c r="A83" s="500">
        <v>45050</v>
      </c>
      <c r="B83" s="501">
        <v>2173.98</v>
      </c>
      <c r="C83" s="501">
        <v>2084.83</v>
      </c>
      <c r="D83" s="501">
        <v>2030.12</v>
      </c>
      <c r="E83" s="501">
        <v>2023.85</v>
      </c>
      <c r="F83" s="501">
        <v>2083.86</v>
      </c>
      <c r="G83" s="501">
        <v>2165.9699999999998</v>
      </c>
      <c r="H83" s="501">
        <v>2370.0500000000002</v>
      </c>
      <c r="I83" s="501">
        <v>2582.2199999999998</v>
      </c>
      <c r="J83" s="501">
        <v>2651.74</v>
      </c>
      <c r="K83" s="501">
        <v>2726.69</v>
      </c>
      <c r="L83" s="501">
        <v>2761.17</v>
      </c>
      <c r="M83" s="501">
        <v>2759.35</v>
      </c>
      <c r="N83" s="501">
        <v>2763.3</v>
      </c>
      <c r="O83" s="501">
        <v>2764.57</v>
      </c>
      <c r="P83" s="501">
        <v>2751.54</v>
      </c>
      <c r="Q83" s="501">
        <v>2727.44</v>
      </c>
      <c r="R83" s="501">
        <v>2704.81</v>
      </c>
      <c r="S83" s="501">
        <v>2676.46</v>
      </c>
      <c r="T83" s="501">
        <v>2640.78</v>
      </c>
      <c r="U83" s="501">
        <v>2707.45</v>
      </c>
      <c r="V83" s="501">
        <v>2752.34</v>
      </c>
      <c r="W83" s="501">
        <v>2748.91</v>
      </c>
      <c r="X83" s="501">
        <v>2598.73</v>
      </c>
      <c r="Y83" s="501">
        <v>2398.96</v>
      </c>
      <c r="Z83" s="502"/>
    </row>
    <row r="84" spans="1:26">
      <c r="A84" s="500">
        <v>45051</v>
      </c>
      <c r="B84" s="501">
        <v>2354.65</v>
      </c>
      <c r="C84" s="501">
        <v>2201.4899999999998</v>
      </c>
      <c r="D84" s="501">
        <v>2142</v>
      </c>
      <c r="E84" s="501">
        <v>2128.5100000000002</v>
      </c>
      <c r="F84" s="501">
        <v>2189.4</v>
      </c>
      <c r="G84" s="501">
        <v>2326.9</v>
      </c>
      <c r="H84" s="501">
        <v>2450.0100000000002</v>
      </c>
      <c r="I84" s="501">
        <v>2638.21</v>
      </c>
      <c r="J84" s="501">
        <v>2780.77</v>
      </c>
      <c r="K84" s="501">
        <v>2821.05</v>
      </c>
      <c r="L84" s="501">
        <v>2849.17</v>
      </c>
      <c r="M84" s="501">
        <v>2876.29</v>
      </c>
      <c r="N84" s="501">
        <v>2863.85</v>
      </c>
      <c r="O84" s="501">
        <v>2879.76</v>
      </c>
      <c r="P84" s="501">
        <v>2860.8</v>
      </c>
      <c r="Q84" s="501">
        <v>2833.61</v>
      </c>
      <c r="R84" s="501">
        <v>2814.98</v>
      </c>
      <c r="S84" s="501">
        <v>2799.14</v>
      </c>
      <c r="T84" s="501">
        <v>2785.23</v>
      </c>
      <c r="U84" s="501">
        <v>2781.49</v>
      </c>
      <c r="V84" s="501">
        <v>2788.93</v>
      </c>
      <c r="W84" s="501">
        <v>2785.27</v>
      </c>
      <c r="X84" s="501">
        <v>2670.69</v>
      </c>
      <c r="Y84" s="501">
        <v>2497.09</v>
      </c>
      <c r="Z84" s="502"/>
    </row>
    <row r="85" spans="1:26">
      <c r="A85" s="500">
        <v>45052</v>
      </c>
      <c r="B85" s="501">
        <v>2449.8000000000002</v>
      </c>
      <c r="C85" s="501">
        <v>2394.83</v>
      </c>
      <c r="D85" s="501">
        <v>2306.87</v>
      </c>
      <c r="E85" s="501">
        <v>2202.84</v>
      </c>
      <c r="F85" s="501">
        <v>2208.71</v>
      </c>
      <c r="G85" s="501">
        <v>2313.17</v>
      </c>
      <c r="H85" s="501">
        <v>2377.0700000000002</v>
      </c>
      <c r="I85" s="501">
        <v>2472.85</v>
      </c>
      <c r="J85" s="501">
        <v>2729.64</v>
      </c>
      <c r="K85" s="501">
        <v>2827.78</v>
      </c>
      <c r="L85" s="501">
        <v>2868.74</v>
      </c>
      <c r="M85" s="501">
        <v>2844.62</v>
      </c>
      <c r="N85" s="501">
        <v>2811.6</v>
      </c>
      <c r="O85" s="501">
        <v>2804.86</v>
      </c>
      <c r="P85" s="501">
        <v>2795.85</v>
      </c>
      <c r="Q85" s="501">
        <v>2793.33</v>
      </c>
      <c r="R85" s="501">
        <v>2780.15</v>
      </c>
      <c r="S85" s="501">
        <v>2759.74</v>
      </c>
      <c r="T85" s="501">
        <v>2758.58</v>
      </c>
      <c r="U85" s="501">
        <v>2809.35</v>
      </c>
      <c r="V85" s="501">
        <v>2831.7</v>
      </c>
      <c r="W85" s="501">
        <v>2788.37</v>
      </c>
      <c r="X85" s="501">
        <v>2728.9</v>
      </c>
      <c r="Y85" s="501">
        <v>2521.9499999999998</v>
      </c>
      <c r="Z85" s="502"/>
    </row>
    <row r="86" spans="1:26">
      <c r="A86" s="500">
        <v>45053</v>
      </c>
      <c r="B86" s="501">
        <v>2418.42</v>
      </c>
      <c r="C86" s="501">
        <v>2298.14</v>
      </c>
      <c r="D86" s="501">
        <v>2192.96</v>
      </c>
      <c r="E86" s="501">
        <v>2147.86</v>
      </c>
      <c r="F86" s="501">
        <v>2135.75</v>
      </c>
      <c r="G86" s="501">
        <v>2111.66</v>
      </c>
      <c r="H86" s="501">
        <v>2237.63</v>
      </c>
      <c r="I86" s="501">
        <v>2326.84</v>
      </c>
      <c r="J86" s="501">
        <v>2460.36</v>
      </c>
      <c r="K86" s="501">
        <v>2567.58</v>
      </c>
      <c r="L86" s="501">
        <v>2585.17</v>
      </c>
      <c r="M86" s="501">
        <v>2586.36</v>
      </c>
      <c r="N86" s="501">
        <v>2581.19</v>
      </c>
      <c r="O86" s="501">
        <v>2573.34</v>
      </c>
      <c r="P86" s="501">
        <v>2567.0300000000002</v>
      </c>
      <c r="Q86" s="501">
        <v>2566.9699999999998</v>
      </c>
      <c r="R86" s="501">
        <v>2569.35</v>
      </c>
      <c r="S86" s="501">
        <v>2571.56</v>
      </c>
      <c r="T86" s="501">
        <v>2600.17</v>
      </c>
      <c r="U86" s="501">
        <v>2659.73</v>
      </c>
      <c r="V86" s="501">
        <v>2745.07</v>
      </c>
      <c r="W86" s="501">
        <v>2668.68</v>
      </c>
      <c r="X86" s="501">
        <v>2610.58</v>
      </c>
      <c r="Y86" s="501">
        <v>2428.35</v>
      </c>
      <c r="Z86" s="502"/>
    </row>
    <row r="87" spans="1:26">
      <c r="A87" s="500">
        <v>45054</v>
      </c>
      <c r="B87" s="501">
        <v>2412.06</v>
      </c>
      <c r="C87" s="501">
        <v>2326.35</v>
      </c>
      <c r="D87" s="501">
        <v>2223.41</v>
      </c>
      <c r="E87" s="501">
        <v>2068.5</v>
      </c>
      <c r="F87" s="501">
        <v>2058.64</v>
      </c>
      <c r="G87" s="501">
        <v>2079.36</v>
      </c>
      <c r="H87" s="501">
        <v>2279.75</v>
      </c>
      <c r="I87" s="501">
        <v>2389.9899999999998</v>
      </c>
      <c r="J87" s="501">
        <v>2568</v>
      </c>
      <c r="K87" s="501">
        <v>2722.05</v>
      </c>
      <c r="L87" s="501">
        <v>2746.25</v>
      </c>
      <c r="M87" s="501">
        <v>2745.85</v>
      </c>
      <c r="N87" s="501">
        <v>2735.57</v>
      </c>
      <c r="O87" s="501">
        <v>2730.91</v>
      </c>
      <c r="P87" s="501">
        <v>2727.39</v>
      </c>
      <c r="Q87" s="501">
        <v>2723.26</v>
      </c>
      <c r="R87" s="501">
        <v>2714.01</v>
      </c>
      <c r="S87" s="501">
        <v>2681.09</v>
      </c>
      <c r="T87" s="501">
        <v>2699.01</v>
      </c>
      <c r="U87" s="501">
        <v>2740.61</v>
      </c>
      <c r="V87" s="501">
        <v>2755.1</v>
      </c>
      <c r="W87" s="501">
        <v>2701.46</v>
      </c>
      <c r="X87" s="501">
        <v>2649.08</v>
      </c>
      <c r="Y87" s="501">
        <v>2495.48</v>
      </c>
      <c r="Z87" s="502"/>
    </row>
    <row r="88" spans="1:26">
      <c r="A88" s="500">
        <v>45055</v>
      </c>
      <c r="B88" s="501">
        <v>2447.9</v>
      </c>
      <c r="C88" s="501">
        <v>2360.2600000000002</v>
      </c>
      <c r="D88" s="501">
        <v>2311.04</v>
      </c>
      <c r="E88" s="501">
        <v>2276.29</v>
      </c>
      <c r="F88" s="501">
        <v>2252.65</v>
      </c>
      <c r="G88" s="501">
        <v>2256.19</v>
      </c>
      <c r="H88" s="501">
        <v>2299.4299999999998</v>
      </c>
      <c r="I88" s="501">
        <v>2392.4899999999998</v>
      </c>
      <c r="J88" s="501">
        <v>2607.1999999999998</v>
      </c>
      <c r="K88" s="501">
        <v>2689.54</v>
      </c>
      <c r="L88" s="501">
        <v>2735.66</v>
      </c>
      <c r="M88" s="501">
        <v>2716.2</v>
      </c>
      <c r="N88" s="501">
        <v>2709.44</v>
      </c>
      <c r="O88" s="501">
        <v>2706.1</v>
      </c>
      <c r="P88" s="501">
        <v>2701.87</v>
      </c>
      <c r="Q88" s="501">
        <v>2693.34</v>
      </c>
      <c r="R88" s="501">
        <v>2665.71</v>
      </c>
      <c r="S88" s="501">
        <v>2665.21</v>
      </c>
      <c r="T88" s="501">
        <v>2681.31</v>
      </c>
      <c r="U88" s="501">
        <v>2724.44</v>
      </c>
      <c r="V88" s="501">
        <v>2781.05</v>
      </c>
      <c r="W88" s="501">
        <v>2765</v>
      </c>
      <c r="X88" s="501">
        <v>2722.8</v>
      </c>
      <c r="Y88" s="501">
        <v>2548.27</v>
      </c>
      <c r="Z88" s="502"/>
    </row>
    <row r="89" spans="1:26">
      <c r="A89" s="500">
        <v>45056</v>
      </c>
      <c r="B89" s="501">
        <v>2524.7600000000002</v>
      </c>
      <c r="C89" s="501">
        <v>2376.87</v>
      </c>
      <c r="D89" s="501">
        <v>2312.87</v>
      </c>
      <c r="E89" s="501">
        <v>2278.44</v>
      </c>
      <c r="F89" s="501">
        <v>2311.4499999999998</v>
      </c>
      <c r="G89" s="501">
        <v>2390.06</v>
      </c>
      <c r="H89" s="501">
        <v>2575.1999999999998</v>
      </c>
      <c r="I89" s="501">
        <v>2809.29</v>
      </c>
      <c r="J89" s="501">
        <v>2860</v>
      </c>
      <c r="K89" s="501">
        <v>2863.3</v>
      </c>
      <c r="L89" s="501">
        <v>2854.35</v>
      </c>
      <c r="M89" s="501">
        <v>2888.45</v>
      </c>
      <c r="N89" s="501">
        <v>2895.59</v>
      </c>
      <c r="O89" s="501">
        <v>2902.45</v>
      </c>
      <c r="P89" s="501">
        <v>2887.1</v>
      </c>
      <c r="Q89" s="501">
        <v>2876.6</v>
      </c>
      <c r="R89" s="501">
        <v>2855.86</v>
      </c>
      <c r="S89" s="501">
        <v>2835.79</v>
      </c>
      <c r="T89" s="501">
        <v>2829.04</v>
      </c>
      <c r="U89" s="501">
        <v>2815.3</v>
      </c>
      <c r="V89" s="501">
        <v>2826.57</v>
      </c>
      <c r="W89" s="501">
        <v>2831.41</v>
      </c>
      <c r="X89" s="501">
        <v>2650.26</v>
      </c>
      <c r="Y89" s="501">
        <v>2544.46</v>
      </c>
      <c r="Z89" s="502"/>
    </row>
    <row r="90" spans="1:26">
      <c r="A90" s="500">
        <v>45057</v>
      </c>
      <c r="B90" s="501">
        <v>2229.7600000000002</v>
      </c>
      <c r="C90" s="501">
        <v>2111.9299999999998</v>
      </c>
      <c r="D90" s="501">
        <v>2075.59</v>
      </c>
      <c r="E90" s="501">
        <v>2042.73</v>
      </c>
      <c r="F90" s="501">
        <v>2073.48</v>
      </c>
      <c r="G90" s="501">
        <v>2175.67</v>
      </c>
      <c r="H90" s="501">
        <v>2734.76</v>
      </c>
      <c r="I90" s="501">
        <v>2749.91</v>
      </c>
      <c r="J90" s="501">
        <v>2842.55</v>
      </c>
      <c r="K90" s="501">
        <v>2845.48</v>
      </c>
      <c r="L90" s="501">
        <v>2799.83</v>
      </c>
      <c r="M90" s="501">
        <v>2844.95</v>
      </c>
      <c r="N90" s="501">
        <v>2853.99</v>
      </c>
      <c r="O90" s="501">
        <v>2841.86</v>
      </c>
      <c r="P90" s="501">
        <v>2815.5</v>
      </c>
      <c r="Q90" s="501">
        <v>2741.61</v>
      </c>
      <c r="R90" s="501">
        <v>2689.71</v>
      </c>
      <c r="S90" s="501">
        <v>2673.5</v>
      </c>
      <c r="T90" s="501">
        <v>2656.62</v>
      </c>
      <c r="U90" s="501">
        <v>2668.47</v>
      </c>
      <c r="V90" s="501">
        <v>2698.06</v>
      </c>
      <c r="W90" s="501">
        <v>2698.51</v>
      </c>
      <c r="X90" s="501">
        <v>2567.83</v>
      </c>
      <c r="Y90" s="501">
        <v>2324.85</v>
      </c>
      <c r="Z90" s="502"/>
    </row>
    <row r="91" spans="1:26">
      <c r="A91" s="500">
        <v>45058</v>
      </c>
      <c r="B91" s="501">
        <v>2213.61</v>
      </c>
      <c r="C91" s="501">
        <v>2097.66</v>
      </c>
      <c r="D91" s="501">
        <v>2042.65</v>
      </c>
      <c r="E91" s="501">
        <v>2005.02</v>
      </c>
      <c r="F91" s="501">
        <v>2093.44</v>
      </c>
      <c r="G91" s="501">
        <v>2470.52</v>
      </c>
      <c r="H91" s="501">
        <v>2905.9</v>
      </c>
      <c r="I91" s="501">
        <v>2945.12</v>
      </c>
      <c r="J91" s="501">
        <v>2964.83</v>
      </c>
      <c r="K91" s="501">
        <v>2968.23</v>
      </c>
      <c r="L91" s="501">
        <v>2963.61</v>
      </c>
      <c r="M91" s="501">
        <v>2953.72</v>
      </c>
      <c r="N91" s="501">
        <v>2958.67</v>
      </c>
      <c r="O91" s="501">
        <v>2955.92</v>
      </c>
      <c r="P91" s="501">
        <v>3040.84</v>
      </c>
      <c r="Q91" s="501">
        <v>3044.11</v>
      </c>
      <c r="R91" s="501">
        <v>2859.79</v>
      </c>
      <c r="S91" s="501">
        <v>2857.08</v>
      </c>
      <c r="T91" s="501">
        <v>2843.97</v>
      </c>
      <c r="U91" s="501">
        <v>2843.18</v>
      </c>
      <c r="V91" s="501">
        <v>2854.18</v>
      </c>
      <c r="W91" s="501">
        <v>2817.2</v>
      </c>
      <c r="X91" s="501">
        <v>2659.67</v>
      </c>
      <c r="Y91" s="501">
        <v>2555.84</v>
      </c>
      <c r="Z91" s="502"/>
    </row>
    <row r="92" spans="1:26">
      <c r="A92" s="500">
        <v>45059</v>
      </c>
      <c r="B92" s="501">
        <v>2500.88</v>
      </c>
      <c r="C92" s="501">
        <v>2276.02</v>
      </c>
      <c r="D92" s="501">
        <v>2147.0100000000002</v>
      </c>
      <c r="E92" s="501">
        <v>2121.19</v>
      </c>
      <c r="F92" s="501">
        <v>2120.52</v>
      </c>
      <c r="G92" s="501">
        <v>2148.2600000000002</v>
      </c>
      <c r="H92" s="501">
        <v>2315.94</v>
      </c>
      <c r="I92" s="501">
        <v>2481.92</v>
      </c>
      <c r="J92" s="501">
        <v>2652.53</v>
      </c>
      <c r="K92" s="501">
        <v>2851.54</v>
      </c>
      <c r="L92" s="501">
        <v>2859.85</v>
      </c>
      <c r="M92" s="501">
        <v>2860.02</v>
      </c>
      <c r="N92" s="501">
        <v>2851.31</v>
      </c>
      <c r="O92" s="501">
        <v>2841.43</v>
      </c>
      <c r="P92" s="501">
        <v>2838.39</v>
      </c>
      <c r="Q92" s="501">
        <v>2822.87</v>
      </c>
      <c r="R92" s="501">
        <v>2780.55</v>
      </c>
      <c r="S92" s="501">
        <v>2734.46</v>
      </c>
      <c r="T92" s="501">
        <v>2730.71</v>
      </c>
      <c r="U92" s="501">
        <v>2771.82</v>
      </c>
      <c r="V92" s="501">
        <v>2790.63</v>
      </c>
      <c r="W92" s="501">
        <v>2750.21</v>
      </c>
      <c r="X92" s="501">
        <v>2686.32</v>
      </c>
      <c r="Y92" s="501">
        <v>2528.4</v>
      </c>
      <c r="Z92" s="502"/>
    </row>
    <row r="93" spans="1:26">
      <c r="A93" s="500">
        <v>45060</v>
      </c>
      <c r="B93" s="501">
        <v>2352.7199999999998</v>
      </c>
      <c r="C93" s="501">
        <v>2176.4299999999998</v>
      </c>
      <c r="D93" s="501">
        <v>2104.9699999999998</v>
      </c>
      <c r="E93" s="501">
        <v>2089.27</v>
      </c>
      <c r="F93" s="501">
        <v>2081.2800000000002</v>
      </c>
      <c r="G93" s="501">
        <v>2018.98</v>
      </c>
      <c r="H93" s="501">
        <v>2017.06</v>
      </c>
      <c r="I93" s="501">
        <v>2218.5100000000002</v>
      </c>
      <c r="J93" s="501">
        <v>2464.5100000000002</v>
      </c>
      <c r="K93" s="501">
        <v>2583.64</v>
      </c>
      <c r="L93" s="501">
        <v>2611.25</v>
      </c>
      <c r="M93" s="501">
        <v>2614.6799999999998</v>
      </c>
      <c r="N93" s="501">
        <v>2610.2600000000002</v>
      </c>
      <c r="O93" s="501">
        <v>2607.08</v>
      </c>
      <c r="P93" s="501">
        <v>2603</v>
      </c>
      <c r="Q93" s="501">
        <v>2607.41</v>
      </c>
      <c r="R93" s="501">
        <v>2608.25</v>
      </c>
      <c r="S93" s="501">
        <v>2586.13</v>
      </c>
      <c r="T93" s="501">
        <v>2616.1799999999998</v>
      </c>
      <c r="U93" s="501">
        <v>2686.51</v>
      </c>
      <c r="V93" s="501">
        <v>2728.7</v>
      </c>
      <c r="W93" s="501">
        <v>2686.96</v>
      </c>
      <c r="X93" s="501">
        <v>2622.49</v>
      </c>
      <c r="Y93" s="501">
        <v>2485.27</v>
      </c>
      <c r="Z93" s="502"/>
    </row>
    <row r="94" spans="1:26">
      <c r="A94" s="500">
        <v>45061</v>
      </c>
      <c r="B94" s="501">
        <v>2316.7399999999998</v>
      </c>
      <c r="C94" s="501">
        <v>2148.2600000000002</v>
      </c>
      <c r="D94" s="501">
        <v>2097.21</v>
      </c>
      <c r="E94" s="501">
        <v>2078.04</v>
      </c>
      <c r="F94" s="501">
        <v>2123.29</v>
      </c>
      <c r="G94" s="501">
        <v>2217.62</v>
      </c>
      <c r="H94" s="501">
        <v>2458.88</v>
      </c>
      <c r="I94" s="501">
        <v>2656.1</v>
      </c>
      <c r="J94" s="501">
        <v>2898.8</v>
      </c>
      <c r="K94" s="501">
        <v>2931.85</v>
      </c>
      <c r="L94" s="501">
        <v>2911.82</v>
      </c>
      <c r="M94" s="501">
        <v>2923</v>
      </c>
      <c r="N94" s="501">
        <v>2922.41</v>
      </c>
      <c r="O94" s="501">
        <v>2942.95</v>
      </c>
      <c r="P94" s="501">
        <v>2899.11</v>
      </c>
      <c r="Q94" s="501">
        <v>2873.09</v>
      </c>
      <c r="R94" s="501">
        <v>2854.47</v>
      </c>
      <c r="S94" s="501">
        <v>2826.75</v>
      </c>
      <c r="T94" s="501">
        <v>2799.32</v>
      </c>
      <c r="U94" s="501">
        <v>2795.24</v>
      </c>
      <c r="V94" s="501">
        <v>2822.86</v>
      </c>
      <c r="W94" s="501">
        <v>2833.56</v>
      </c>
      <c r="X94" s="501">
        <v>2636.06</v>
      </c>
      <c r="Y94" s="501">
        <v>2506.2600000000002</v>
      </c>
      <c r="Z94" s="502"/>
    </row>
    <row r="95" spans="1:26">
      <c r="A95" s="500">
        <v>45062</v>
      </c>
      <c r="B95" s="501">
        <v>2263.65</v>
      </c>
      <c r="C95" s="501">
        <v>2188.5500000000002</v>
      </c>
      <c r="D95" s="501">
        <v>2116.9499999999998</v>
      </c>
      <c r="E95" s="501">
        <v>2106.35</v>
      </c>
      <c r="F95" s="501">
        <v>2143.86</v>
      </c>
      <c r="G95" s="501">
        <v>2303.31</v>
      </c>
      <c r="H95" s="501">
        <v>2492.7399999999998</v>
      </c>
      <c r="I95" s="501">
        <v>2650.17</v>
      </c>
      <c r="J95" s="501">
        <v>2863.11</v>
      </c>
      <c r="K95" s="501">
        <v>2886.65</v>
      </c>
      <c r="L95" s="501">
        <v>2869.02</v>
      </c>
      <c r="M95" s="501">
        <v>2864.74</v>
      </c>
      <c r="N95" s="501">
        <v>2855.66</v>
      </c>
      <c r="O95" s="501">
        <v>2884.22</v>
      </c>
      <c r="P95" s="501">
        <v>2856.67</v>
      </c>
      <c r="Q95" s="501">
        <v>2770.9</v>
      </c>
      <c r="R95" s="501">
        <v>2714.81</v>
      </c>
      <c r="S95" s="501">
        <v>2695.66</v>
      </c>
      <c r="T95" s="501">
        <v>2672.36</v>
      </c>
      <c r="U95" s="501">
        <v>2686.04</v>
      </c>
      <c r="V95" s="501">
        <v>2749.15</v>
      </c>
      <c r="W95" s="501">
        <v>2805.58</v>
      </c>
      <c r="X95" s="501">
        <v>2603.2800000000002</v>
      </c>
      <c r="Y95" s="501">
        <v>2419.85</v>
      </c>
      <c r="Z95" s="502"/>
    </row>
    <row r="96" spans="1:26">
      <c r="A96" s="500">
        <v>45063</v>
      </c>
      <c r="B96" s="501">
        <v>2186.66</v>
      </c>
      <c r="C96" s="501">
        <v>2104.9</v>
      </c>
      <c r="D96" s="501">
        <v>2045.84</v>
      </c>
      <c r="E96" s="501">
        <v>2004.12</v>
      </c>
      <c r="F96" s="501">
        <v>2047.57</v>
      </c>
      <c r="G96" s="501">
        <v>2175.14</v>
      </c>
      <c r="H96" s="501">
        <v>2443.98</v>
      </c>
      <c r="I96" s="501">
        <v>2618.81</v>
      </c>
      <c r="J96" s="501">
        <v>2810.47</v>
      </c>
      <c r="K96" s="501">
        <v>2873.21</v>
      </c>
      <c r="L96" s="501">
        <v>2834.96</v>
      </c>
      <c r="M96" s="501">
        <v>2870.24</v>
      </c>
      <c r="N96" s="501">
        <v>2859.06</v>
      </c>
      <c r="O96" s="501">
        <v>2871.73</v>
      </c>
      <c r="P96" s="501">
        <v>2816.42</v>
      </c>
      <c r="Q96" s="501">
        <v>2752.91</v>
      </c>
      <c r="R96" s="501">
        <v>2691.79</v>
      </c>
      <c r="S96" s="501">
        <v>2665.64</v>
      </c>
      <c r="T96" s="501">
        <v>2652.04</v>
      </c>
      <c r="U96" s="501">
        <v>2667.3</v>
      </c>
      <c r="V96" s="501">
        <v>2704.11</v>
      </c>
      <c r="W96" s="501">
        <v>2771.64</v>
      </c>
      <c r="X96" s="501">
        <v>2613.2399999999998</v>
      </c>
      <c r="Y96" s="501">
        <v>2368.7399999999998</v>
      </c>
      <c r="Z96" s="502"/>
    </row>
    <row r="97" spans="1:26">
      <c r="A97" s="500">
        <v>45064</v>
      </c>
      <c r="B97" s="501">
        <v>2234.79</v>
      </c>
      <c r="C97" s="501">
        <v>2153.8000000000002</v>
      </c>
      <c r="D97" s="501">
        <v>2057.1799999999998</v>
      </c>
      <c r="E97" s="501">
        <v>2040.73</v>
      </c>
      <c r="F97" s="501">
        <v>2117.69</v>
      </c>
      <c r="G97" s="501">
        <v>2223.87</v>
      </c>
      <c r="H97" s="501">
        <v>2419.8000000000002</v>
      </c>
      <c r="I97" s="501">
        <v>2618.7199999999998</v>
      </c>
      <c r="J97" s="501">
        <v>2808.91</v>
      </c>
      <c r="K97" s="501">
        <v>2848.41</v>
      </c>
      <c r="L97" s="501">
        <v>2826.07</v>
      </c>
      <c r="M97" s="501">
        <v>2833.26</v>
      </c>
      <c r="N97" s="501">
        <v>2829.47</v>
      </c>
      <c r="O97" s="501">
        <v>2844.57</v>
      </c>
      <c r="P97" s="501">
        <v>2831.64</v>
      </c>
      <c r="Q97" s="501">
        <v>2817.12</v>
      </c>
      <c r="R97" s="501">
        <v>2821.93</v>
      </c>
      <c r="S97" s="501">
        <v>2820.29</v>
      </c>
      <c r="T97" s="501">
        <v>2808.89</v>
      </c>
      <c r="U97" s="501">
        <v>2831.68</v>
      </c>
      <c r="V97" s="501">
        <v>2837.43</v>
      </c>
      <c r="W97" s="501">
        <v>2844.51</v>
      </c>
      <c r="X97" s="501">
        <v>2649.88</v>
      </c>
      <c r="Y97" s="501">
        <v>2488.6</v>
      </c>
      <c r="Z97" s="502"/>
    </row>
    <row r="98" spans="1:26">
      <c r="A98" s="500">
        <v>45065</v>
      </c>
      <c r="B98" s="501">
        <v>2230.13</v>
      </c>
      <c r="C98" s="501">
        <v>2095.25</v>
      </c>
      <c r="D98" s="501">
        <v>2014.65</v>
      </c>
      <c r="E98" s="501">
        <v>1981.01</v>
      </c>
      <c r="F98" s="501">
        <v>2011.11</v>
      </c>
      <c r="G98" s="501">
        <v>2281.08</v>
      </c>
      <c r="H98" s="501">
        <v>2461.29</v>
      </c>
      <c r="I98" s="501">
        <v>2719.93</v>
      </c>
      <c r="J98" s="501">
        <v>2907.99</v>
      </c>
      <c r="K98" s="501">
        <v>2958.08</v>
      </c>
      <c r="L98" s="501">
        <v>2945.6</v>
      </c>
      <c r="M98" s="501">
        <v>2960.76</v>
      </c>
      <c r="N98" s="501">
        <v>2961.2</v>
      </c>
      <c r="O98" s="501">
        <v>2963.71</v>
      </c>
      <c r="P98" s="501">
        <v>2950.04</v>
      </c>
      <c r="Q98" s="501">
        <v>2935.76</v>
      </c>
      <c r="R98" s="501">
        <v>2907.57</v>
      </c>
      <c r="S98" s="501">
        <v>2890.54</v>
      </c>
      <c r="T98" s="501">
        <v>2868.76</v>
      </c>
      <c r="U98" s="501">
        <v>2870.41</v>
      </c>
      <c r="V98" s="501">
        <v>2883.48</v>
      </c>
      <c r="W98" s="501">
        <v>2882.48</v>
      </c>
      <c r="X98" s="501">
        <v>2718.57</v>
      </c>
      <c r="Y98" s="501">
        <v>2515.2600000000002</v>
      </c>
      <c r="Z98" s="502"/>
    </row>
    <row r="99" spans="1:26">
      <c r="A99" s="500">
        <v>45066</v>
      </c>
      <c r="B99" s="501">
        <v>2510.7600000000002</v>
      </c>
      <c r="C99" s="501">
        <v>2395.9</v>
      </c>
      <c r="D99" s="501">
        <v>2323.9499999999998</v>
      </c>
      <c r="E99" s="501">
        <v>2223.3200000000002</v>
      </c>
      <c r="F99" s="501">
        <v>2220.61</v>
      </c>
      <c r="G99" s="501">
        <v>2281.94</v>
      </c>
      <c r="H99" s="501">
        <v>2388.52</v>
      </c>
      <c r="I99" s="501">
        <v>2567.92</v>
      </c>
      <c r="J99" s="501">
        <v>2769.03</v>
      </c>
      <c r="K99" s="501">
        <v>2901</v>
      </c>
      <c r="L99" s="501">
        <v>2938.98</v>
      </c>
      <c r="M99" s="501">
        <v>2921.46</v>
      </c>
      <c r="N99" s="501">
        <v>2847.46</v>
      </c>
      <c r="O99" s="501">
        <v>2822.62</v>
      </c>
      <c r="P99" s="501">
        <v>2810.26</v>
      </c>
      <c r="Q99" s="501">
        <v>2777.6</v>
      </c>
      <c r="R99" s="501">
        <v>2763.46</v>
      </c>
      <c r="S99" s="501">
        <v>2735.39</v>
      </c>
      <c r="T99" s="501">
        <v>2739.69</v>
      </c>
      <c r="U99" s="501">
        <v>2775.03</v>
      </c>
      <c r="V99" s="501">
        <v>2810.44</v>
      </c>
      <c r="W99" s="501">
        <v>2778.55</v>
      </c>
      <c r="X99" s="501">
        <v>2635.42</v>
      </c>
      <c r="Y99" s="501">
        <v>2473.17</v>
      </c>
      <c r="Z99" s="502"/>
    </row>
    <row r="100" spans="1:26">
      <c r="A100" s="500">
        <v>45067</v>
      </c>
      <c r="B100" s="501">
        <v>2449.39</v>
      </c>
      <c r="C100" s="501">
        <v>2320.7600000000002</v>
      </c>
      <c r="D100" s="501">
        <v>2210.2399999999998</v>
      </c>
      <c r="E100" s="501">
        <v>2136.14</v>
      </c>
      <c r="F100" s="501">
        <v>2132.54</v>
      </c>
      <c r="G100" s="501">
        <v>2104.4</v>
      </c>
      <c r="H100" s="501">
        <v>2187.79</v>
      </c>
      <c r="I100" s="501">
        <v>2413.64</v>
      </c>
      <c r="J100" s="501">
        <v>2581.5</v>
      </c>
      <c r="K100" s="501">
        <v>2697.87</v>
      </c>
      <c r="L100" s="501">
        <v>2733.09</v>
      </c>
      <c r="M100" s="501">
        <v>2741.46</v>
      </c>
      <c r="N100" s="501">
        <v>2736.22</v>
      </c>
      <c r="O100" s="501">
        <v>2728.4</v>
      </c>
      <c r="P100" s="501">
        <v>2731.35</v>
      </c>
      <c r="Q100" s="501">
        <v>2733.44</v>
      </c>
      <c r="R100" s="501">
        <v>2728.62</v>
      </c>
      <c r="S100" s="501">
        <v>2722.49</v>
      </c>
      <c r="T100" s="501">
        <v>2784.28</v>
      </c>
      <c r="U100" s="501">
        <v>2869.9</v>
      </c>
      <c r="V100" s="501">
        <v>2900.01</v>
      </c>
      <c r="W100" s="501">
        <v>2836.66</v>
      </c>
      <c r="X100" s="501">
        <v>2687.94</v>
      </c>
      <c r="Y100" s="501">
        <v>2517.3000000000002</v>
      </c>
      <c r="Z100" s="502"/>
    </row>
    <row r="101" spans="1:26">
      <c r="A101" s="500">
        <v>45068</v>
      </c>
      <c r="B101" s="501">
        <v>2330.5300000000002</v>
      </c>
      <c r="C101" s="501">
        <v>2192.6</v>
      </c>
      <c r="D101" s="501">
        <v>2131.73</v>
      </c>
      <c r="E101" s="501">
        <v>2127.33</v>
      </c>
      <c r="F101" s="501">
        <v>2130.12</v>
      </c>
      <c r="G101" s="501">
        <v>2193.3200000000002</v>
      </c>
      <c r="H101" s="501">
        <v>2447.04</v>
      </c>
      <c r="I101" s="501">
        <v>2692.59</v>
      </c>
      <c r="J101" s="501">
        <v>2919.15</v>
      </c>
      <c r="K101" s="501">
        <v>2964.79</v>
      </c>
      <c r="L101" s="501">
        <v>2946.55</v>
      </c>
      <c r="M101" s="501">
        <v>2945.42</v>
      </c>
      <c r="N101" s="501">
        <v>2901.09</v>
      </c>
      <c r="O101" s="501">
        <v>2930.03</v>
      </c>
      <c r="P101" s="501">
        <v>2910.33</v>
      </c>
      <c r="Q101" s="501">
        <v>2881.83</v>
      </c>
      <c r="R101" s="501">
        <v>2862.45</v>
      </c>
      <c r="S101" s="501">
        <v>2870.21</v>
      </c>
      <c r="T101" s="501">
        <v>2852.95</v>
      </c>
      <c r="U101" s="501">
        <v>2827.09</v>
      </c>
      <c r="V101" s="501">
        <v>2857.01</v>
      </c>
      <c r="W101" s="501">
        <v>2883.82</v>
      </c>
      <c r="X101" s="501">
        <v>2624.5</v>
      </c>
      <c r="Y101" s="501">
        <v>2451.5100000000002</v>
      </c>
      <c r="Z101" s="502"/>
    </row>
    <row r="102" spans="1:26">
      <c r="A102" s="500">
        <v>45069</v>
      </c>
      <c r="B102" s="501">
        <v>2348.42</v>
      </c>
      <c r="C102" s="501">
        <v>2205.46</v>
      </c>
      <c r="D102" s="501">
        <v>2120.88</v>
      </c>
      <c r="E102" s="501">
        <v>2093.41</v>
      </c>
      <c r="F102" s="501">
        <v>2255.66</v>
      </c>
      <c r="G102" s="501">
        <v>2415.04</v>
      </c>
      <c r="H102" s="501">
        <v>2507.91</v>
      </c>
      <c r="I102" s="501">
        <v>2695.14</v>
      </c>
      <c r="J102" s="501">
        <v>2875.55</v>
      </c>
      <c r="K102" s="501">
        <v>2916.72</v>
      </c>
      <c r="L102" s="501">
        <v>2860.61</v>
      </c>
      <c r="M102" s="501">
        <v>2926.87</v>
      </c>
      <c r="N102" s="501">
        <v>2933.35</v>
      </c>
      <c r="O102" s="501">
        <v>2947.15</v>
      </c>
      <c r="P102" s="501">
        <v>2911.82</v>
      </c>
      <c r="Q102" s="501">
        <v>2889.47</v>
      </c>
      <c r="R102" s="501">
        <v>2872.58</v>
      </c>
      <c r="S102" s="501">
        <v>2843.13</v>
      </c>
      <c r="T102" s="501">
        <v>2814.53</v>
      </c>
      <c r="U102" s="501">
        <v>2802.51</v>
      </c>
      <c r="V102" s="501">
        <v>2805.52</v>
      </c>
      <c r="W102" s="501">
        <v>2802.53</v>
      </c>
      <c r="X102" s="501">
        <v>2636.71</v>
      </c>
      <c r="Y102" s="501">
        <v>2405.08</v>
      </c>
      <c r="Z102" s="502"/>
    </row>
    <row r="103" spans="1:26">
      <c r="A103" s="500">
        <v>45070</v>
      </c>
      <c r="B103" s="501">
        <v>2368.8000000000002</v>
      </c>
      <c r="C103" s="501">
        <v>2171.17</v>
      </c>
      <c r="D103" s="501">
        <v>2139.96</v>
      </c>
      <c r="E103" s="501">
        <v>2105.13</v>
      </c>
      <c r="F103" s="501">
        <v>2127.02</v>
      </c>
      <c r="G103" s="501">
        <v>2321.91</v>
      </c>
      <c r="H103" s="501">
        <v>2647.96</v>
      </c>
      <c r="I103" s="501">
        <v>2815.99</v>
      </c>
      <c r="J103" s="501">
        <v>2913.82</v>
      </c>
      <c r="K103" s="501">
        <v>2928.5</v>
      </c>
      <c r="L103" s="501">
        <v>2919.27</v>
      </c>
      <c r="M103" s="501">
        <v>2909.6</v>
      </c>
      <c r="N103" s="501">
        <v>2905.42</v>
      </c>
      <c r="O103" s="501">
        <v>2911.01</v>
      </c>
      <c r="P103" s="501">
        <v>2905.99</v>
      </c>
      <c r="Q103" s="501">
        <v>2912.88</v>
      </c>
      <c r="R103" s="501">
        <v>2899.43</v>
      </c>
      <c r="S103" s="501">
        <v>2892.34</v>
      </c>
      <c r="T103" s="501">
        <v>2889.82</v>
      </c>
      <c r="U103" s="501">
        <v>2892.32</v>
      </c>
      <c r="V103" s="501">
        <v>2894.54</v>
      </c>
      <c r="W103" s="501">
        <v>2885.01</v>
      </c>
      <c r="X103" s="501">
        <v>2781.7</v>
      </c>
      <c r="Y103" s="501">
        <v>2483.33</v>
      </c>
      <c r="Z103" s="502"/>
    </row>
    <row r="104" spans="1:26">
      <c r="A104" s="500">
        <v>45071</v>
      </c>
      <c r="B104" s="501">
        <v>2208.65</v>
      </c>
      <c r="C104" s="501">
        <v>2108.17</v>
      </c>
      <c r="D104" s="501">
        <v>2053.5</v>
      </c>
      <c r="E104" s="501">
        <v>2014.55</v>
      </c>
      <c r="F104" s="501">
        <v>2027.64</v>
      </c>
      <c r="G104" s="501">
        <v>2211.8000000000002</v>
      </c>
      <c r="H104" s="501">
        <v>2610.42</v>
      </c>
      <c r="I104" s="501">
        <v>2769.86</v>
      </c>
      <c r="J104" s="501">
        <v>2938.83</v>
      </c>
      <c r="K104" s="501">
        <v>2936.59</v>
      </c>
      <c r="L104" s="501">
        <v>2931.22</v>
      </c>
      <c r="M104" s="501">
        <v>2926.91</v>
      </c>
      <c r="N104" s="501">
        <v>2929.33</v>
      </c>
      <c r="O104" s="501">
        <v>2927.97</v>
      </c>
      <c r="P104" s="501">
        <v>2946.19</v>
      </c>
      <c r="Q104" s="501">
        <v>2943.87</v>
      </c>
      <c r="R104" s="501">
        <v>2922.7</v>
      </c>
      <c r="S104" s="501">
        <v>2919.23</v>
      </c>
      <c r="T104" s="501">
        <v>2916.71</v>
      </c>
      <c r="U104" s="501">
        <v>2920.9</v>
      </c>
      <c r="V104" s="501">
        <v>2924.52</v>
      </c>
      <c r="W104" s="501">
        <v>2909.36</v>
      </c>
      <c r="X104" s="501">
        <v>2806.64</v>
      </c>
      <c r="Y104" s="501">
        <v>2418.35</v>
      </c>
      <c r="Z104" s="502"/>
    </row>
    <row r="105" spans="1:26">
      <c r="A105" s="500">
        <v>45072</v>
      </c>
      <c r="B105" s="501">
        <v>2302.9899999999998</v>
      </c>
      <c r="C105" s="501">
        <v>2172.81</v>
      </c>
      <c r="D105" s="501">
        <v>2115.8000000000002</v>
      </c>
      <c r="E105" s="501">
        <v>2079.5500000000002</v>
      </c>
      <c r="F105" s="501">
        <v>2115.66</v>
      </c>
      <c r="G105" s="501">
        <v>2237.1999999999998</v>
      </c>
      <c r="H105" s="501">
        <v>2652.64</v>
      </c>
      <c r="I105" s="501">
        <v>2820.83</v>
      </c>
      <c r="J105" s="501">
        <v>3021.94</v>
      </c>
      <c r="K105" s="501">
        <v>3026.59</v>
      </c>
      <c r="L105" s="501">
        <v>3024.47</v>
      </c>
      <c r="M105" s="501">
        <v>3020.61</v>
      </c>
      <c r="N105" s="501">
        <v>3022.96</v>
      </c>
      <c r="O105" s="501">
        <v>3023.14</v>
      </c>
      <c r="P105" s="501">
        <v>3036.59</v>
      </c>
      <c r="Q105" s="501">
        <v>3031.17</v>
      </c>
      <c r="R105" s="501">
        <v>3007.97</v>
      </c>
      <c r="S105" s="501">
        <v>3002.92</v>
      </c>
      <c r="T105" s="501">
        <v>2998.79</v>
      </c>
      <c r="U105" s="501">
        <v>2996.32</v>
      </c>
      <c r="V105" s="501">
        <v>3003.42</v>
      </c>
      <c r="W105" s="501">
        <v>2991.25</v>
      </c>
      <c r="X105" s="501">
        <v>2928.64</v>
      </c>
      <c r="Y105" s="501">
        <v>2658.23</v>
      </c>
      <c r="Z105" s="502"/>
    </row>
    <row r="106" spans="1:26">
      <c r="A106" s="500">
        <v>45073</v>
      </c>
      <c r="B106" s="501">
        <v>2596.1799999999998</v>
      </c>
      <c r="C106" s="501">
        <v>2361.46</v>
      </c>
      <c r="D106" s="501">
        <v>2224.86</v>
      </c>
      <c r="E106" s="501">
        <v>2185.9</v>
      </c>
      <c r="F106" s="501">
        <v>2169.75</v>
      </c>
      <c r="G106" s="501">
        <v>2157.02</v>
      </c>
      <c r="H106" s="501">
        <v>2489.58</v>
      </c>
      <c r="I106" s="501">
        <v>2651.86</v>
      </c>
      <c r="J106" s="501">
        <v>2898.62</v>
      </c>
      <c r="K106" s="501">
        <v>2950.5</v>
      </c>
      <c r="L106" s="501">
        <v>2949.86</v>
      </c>
      <c r="M106" s="501">
        <v>2949.28</v>
      </c>
      <c r="N106" s="501">
        <v>2947.85</v>
      </c>
      <c r="O106" s="501">
        <v>2942.84</v>
      </c>
      <c r="P106" s="501">
        <v>2935.29</v>
      </c>
      <c r="Q106" s="501">
        <v>2932.45</v>
      </c>
      <c r="R106" s="501">
        <v>2933.51</v>
      </c>
      <c r="S106" s="501">
        <v>2909.13</v>
      </c>
      <c r="T106" s="501">
        <v>2906.09</v>
      </c>
      <c r="U106" s="501">
        <v>2911</v>
      </c>
      <c r="V106" s="501">
        <v>2942.82</v>
      </c>
      <c r="W106" s="501">
        <v>2934.14</v>
      </c>
      <c r="X106" s="501">
        <v>2871.31</v>
      </c>
      <c r="Y106" s="501">
        <v>2558.4699999999998</v>
      </c>
      <c r="Z106" s="502"/>
    </row>
    <row r="107" spans="1:26">
      <c r="A107" s="500">
        <v>45074</v>
      </c>
      <c r="B107" s="501">
        <v>2470.52</v>
      </c>
      <c r="C107" s="501">
        <v>2309.59</v>
      </c>
      <c r="D107" s="501">
        <v>2194.73</v>
      </c>
      <c r="E107" s="501">
        <v>2166.9899999999998</v>
      </c>
      <c r="F107" s="501">
        <v>2145.19</v>
      </c>
      <c r="G107" s="501">
        <v>2134.56</v>
      </c>
      <c r="H107" s="501">
        <v>2349.04</v>
      </c>
      <c r="I107" s="501">
        <v>2505.09</v>
      </c>
      <c r="J107" s="501">
        <v>2754.69</v>
      </c>
      <c r="K107" s="501">
        <v>2892.81</v>
      </c>
      <c r="L107" s="501">
        <v>2898.06</v>
      </c>
      <c r="M107" s="501">
        <v>2896.47</v>
      </c>
      <c r="N107" s="501">
        <v>2896.19</v>
      </c>
      <c r="O107" s="501">
        <v>2896.3</v>
      </c>
      <c r="P107" s="501">
        <v>2896.01</v>
      </c>
      <c r="Q107" s="501">
        <v>2897.04</v>
      </c>
      <c r="R107" s="501">
        <v>2903.48</v>
      </c>
      <c r="S107" s="501">
        <v>2906.05</v>
      </c>
      <c r="T107" s="501">
        <v>2904.14</v>
      </c>
      <c r="U107" s="501">
        <v>2901.02</v>
      </c>
      <c r="V107" s="501">
        <v>2912.96</v>
      </c>
      <c r="W107" s="501">
        <v>2903.48</v>
      </c>
      <c r="X107" s="501">
        <v>2825.69</v>
      </c>
      <c r="Y107" s="501">
        <v>2540.9299999999998</v>
      </c>
      <c r="Z107" s="502"/>
    </row>
    <row r="108" spans="1:26">
      <c r="A108" s="500">
        <v>45075</v>
      </c>
      <c r="B108" s="501">
        <v>2396.0500000000002</v>
      </c>
      <c r="C108" s="501">
        <v>2240.75</v>
      </c>
      <c r="D108" s="501">
        <v>2155.7800000000002</v>
      </c>
      <c r="E108" s="501">
        <v>2120.09</v>
      </c>
      <c r="F108" s="501">
        <v>2141.9899999999998</v>
      </c>
      <c r="G108" s="501">
        <v>2226.4</v>
      </c>
      <c r="H108" s="501">
        <v>2660.56</v>
      </c>
      <c r="I108" s="501">
        <v>2886.67</v>
      </c>
      <c r="J108" s="501">
        <v>2974.04</v>
      </c>
      <c r="K108" s="501">
        <v>2975.64</v>
      </c>
      <c r="L108" s="501">
        <v>2972.56</v>
      </c>
      <c r="M108" s="501">
        <v>2971.43</v>
      </c>
      <c r="N108" s="501">
        <v>2973.3</v>
      </c>
      <c r="O108" s="501">
        <v>2971.29</v>
      </c>
      <c r="P108" s="501">
        <v>2968.79</v>
      </c>
      <c r="Q108" s="501">
        <v>2962.95</v>
      </c>
      <c r="R108" s="501">
        <v>2958.18</v>
      </c>
      <c r="S108" s="501">
        <v>2956.84</v>
      </c>
      <c r="T108" s="501">
        <v>2952.17</v>
      </c>
      <c r="U108" s="501">
        <v>2953.23</v>
      </c>
      <c r="V108" s="501">
        <v>2953.79</v>
      </c>
      <c r="W108" s="501">
        <v>2945.15</v>
      </c>
      <c r="X108" s="501">
        <v>2898.89</v>
      </c>
      <c r="Y108" s="501">
        <v>2512.42</v>
      </c>
      <c r="Z108" s="502"/>
    </row>
    <row r="109" spans="1:26">
      <c r="A109" s="500">
        <v>45076</v>
      </c>
      <c r="B109" s="501">
        <v>2321.9699999999998</v>
      </c>
      <c r="C109" s="501">
        <v>2186.33</v>
      </c>
      <c r="D109" s="501">
        <v>2161.21</v>
      </c>
      <c r="E109" s="501">
        <v>2137.84</v>
      </c>
      <c r="F109" s="501">
        <v>2163.0100000000002</v>
      </c>
      <c r="G109" s="501">
        <v>2327.56</v>
      </c>
      <c r="H109" s="501">
        <v>2662.54</v>
      </c>
      <c r="I109" s="501">
        <v>2901.45</v>
      </c>
      <c r="J109" s="501">
        <v>3015.8</v>
      </c>
      <c r="K109" s="501">
        <v>3017.71</v>
      </c>
      <c r="L109" s="501">
        <v>3015.99</v>
      </c>
      <c r="M109" s="501">
        <v>3012.2</v>
      </c>
      <c r="N109" s="501">
        <v>3015.55</v>
      </c>
      <c r="O109" s="501">
        <v>3014.89</v>
      </c>
      <c r="P109" s="501">
        <v>3012.53</v>
      </c>
      <c r="Q109" s="501">
        <v>3007.98</v>
      </c>
      <c r="R109" s="501">
        <v>3003.05</v>
      </c>
      <c r="S109" s="501">
        <v>2999.31</v>
      </c>
      <c r="T109" s="501">
        <v>2993.15</v>
      </c>
      <c r="U109" s="501">
        <v>2992.44</v>
      </c>
      <c r="V109" s="501">
        <v>2994.28</v>
      </c>
      <c r="W109" s="501">
        <v>2972.21</v>
      </c>
      <c r="X109" s="501">
        <v>2880.81</v>
      </c>
      <c r="Y109" s="501">
        <v>2540.15</v>
      </c>
      <c r="Z109" s="502"/>
    </row>
    <row r="110" spans="1:26">
      <c r="A110" s="500">
        <v>45077</v>
      </c>
      <c r="B110" s="501">
        <v>2274</v>
      </c>
      <c r="C110" s="501">
        <v>2148.44</v>
      </c>
      <c r="D110" s="501">
        <v>2087.94</v>
      </c>
      <c r="E110" s="501">
        <v>2054.2600000000002</v>
      </c>
      <c r="F110" s="501">
        <v>2050.2600000000002</v>
      </c>
      <c r="G110" s="501">
        <v>2215.25</v>
      </c>
      <c r="H110" s="501">
        <v>2616.41</v>
      </c>
      <c r="I110" s="501">
        <v>2854.17</v>
      </c>
      <c r="J110" s="501">
        <v>3040.05</v>
      </c>
      <c r="K110" s="501">
        <v>3040.22</v>
      </c>
      <c r="L110" s="501">
        <v>3037.77</v>
      </c>
      <c r="M110" s="501">
        <v>3033.98</v>
      </c>
      <c r="N110" s="501">
        <v>3037.36</v>
      </c>
      <c r="O110" s="501">
        <v>3034.03</v>
      </c>
      <c r="P110" s="501">
        <v>3024.88</v>
      </c>
      <c r="Q110" s="501">
        <v>3017.51</v>
      </c>
      <c r="R110" s="501">
        <v>3014.28</v>
      </c>
      <c r="S110" s="501">
        <v>3012.21</v>
      </c>
      <c r="T110" s="501">
        <v>3010.14</v>
      </c>
      <c r="U110" s="501">
        <v>3012.32</v>
      </c>
      <c r="V110" s="501">
        <v>3016.07</v>
      </c>
      <c r="W110" s="501">
        <v>2996.89</v>
      </c>
      <c r="X110" s="501">
        <v>2899.34</v>
      </c>
      <c r="Y110" s="501">
        <v>2596.4699999999998</v>
      </c>
      <c r="Z110" s="502"/>
    </row>
    <row r="112" spans="1:26" ht="16">
      <c r="A112" s="495" t="s">
        <v>711</v>
      </c>
      <c r="B112" s="866" t="s">
        <v>739</v>
      </c>
      <c r="C112" s="866"/>
      <c r="D112" s="866"/>
      <c r="E112" s="866"/>
      <c r="F112" s="866"/>
      <c r="G112" s="866"/>
      <c r="H112" s="866"/>
      <c r="I112" s="866"/>
      <c r="J112" s="866"/>
      <c r="K112" s="866"/>
      <c r="L112" s="866"/>
      <c r="M112" s="866"/>
      <c r="N112" s="866"/>
      <c r="O112" s="866"/>
      <c r="P112" s="866"/>
      <c r="Q112" s="866"/>
      <c r="R112" s="866"/>
      <c r="S112" s="866"/>
      <c r="T112" s="866"/>
      <c r="U112" s="866"/>
      <c r="V112" s="866"/>
      <c r="W112" s="866"/>
      <c r="X112" s="866"/>
      <c r="Y112" s="866"/>
      <c r="Z112" s="496"/>
    </row>
    <row r="113" spans="1:26" ht="17">
      <c r="A113" s="497" t="s">
        <v>280</v>
      </c>
      <c r="B113" s="498" t="s">
        <v>713</v>
      </c>
      <c r="C113" s="498" t="s">
        <v>714</v>
      </c>
      <c r="D113" s="498" t="s">
        <v>715</v>
      </c>
      <c r="E113" s="498" t="s">
        <v>716</v>
      </c>
      <c r="F113" s="498" t="s">
        <v>717</v>
      </c>
      <c r="G113" s="498" t="s">
        <v>718</v>
      </c>
      <c r="H113" s="498" t="s">
        <v>719</v>
      </c>
      <c r="I113" s="498" t="s">
        <v>720</v>
      </c>
      <c r="J113" s="498" t="s">
        <v>721</v>
      </c>
      <c r="K113" s="498" t="s">
        <v>722</v>
      </c>
      <c r="L113" s="498" t="s">
        <v>723</v>
      </c>
      <c r="M113" s="498" t="s">
        <v>724</v>
      </c>
      <c r="N113" s="498" t="s">
        <v>725</v>
      </c>
      <c r="O113" s="498" t="s">
        <v>726</v>
      </c>
      <c r="P113" s="498" t="s">
        <v>727</v>
      </c>
      <c r="Q113" s="498" t="s">
        <v>728</v>
      </c>
      <c r="R113" s="498" t="s">
        <v>729</v>
      </c>
      <c r="S113" s="498" t="s">
        <v>730</v>
      </c>
      <c r="T113" s="498" t="s">
        <v>731</v>
      </c>
      <c r="U113" s="498" t="s">
        <v>732</v>
      </c>
      <c r="V113" s="498" t="s">
        <v>733</v>
      </c>
      <c r="W113" s="498" t="s">
        <v>734</v>
      </c>
      <c r="X113" s="498" t="s">
        <v>735</v>
      </c>
      <c r="Y113" s="498" t="s">
        <v>736</v>
      </c>
      <c r="Z113" s="499"/>
    </row>
    <row r="114" spans="1:26">
      <c r="A114" s="500">
        <v>45047</v>
      </c>
      <c r="B114" s="501">
        <v>3088.78</v>
      </c>
      <c r="C114" s="501">
        <v>2987.52</v>
      </c>
      <c r="D114" s="501">
        <v>2922.39</v>
      </c>
      <c r="E114" s="501">
        <v>2866.21</v>
      </c>
      <c r="F114" s="501">
        <v>2851.14</v>
      </c>
      <c r="G114" s="501">
        <v>2875.32</v>
      </c>
      <c r="H114" s="501">
        <v>2929.89</v>
      </c>
      <c r="I114" s="501">
        <v>3063.68</v>
      </c>
      <c r="J114" s="501">
        <v>3285.22</v>
      </c>
      <c r="K114" s="501">
        <v>3422.33</v>
      </c>
      <c r="L114" s="501">
        <v>3428.57</v>
      </c>
      <c r="M114" s="501">
        <v>3414.78</v>
      </c>
      <c r="N114" s="501">
        <v>3398.13</v>
      </c>
      <c r="O114" s="501">
        <v>3388.63</v>
      </c>
      <c r="P114" s="501">
        <v>3366.72</v>
      </c>
      <c r="Q114" s="501">
        <v>3347.32</v>
      </c>
      <c r="R114" s="501">
        <v>3344.98</v>
      </c>
      <c r="S114" s="501">
        <v>3358.7</v>
      </c>
      <c r="T114" s="501">
        <v>3423.53</v>
      </c>
      <c r="U114" s="501">
        <v>3484.71</v>
      </c>
      <c r="V114" s="501">
        <v>3515.3</v>
      </c>
      <c r="W114" s="501">
        <v>3456.22</v>
      </c>
      <c r="X114" s="501">
        <v>3360</v>
      </c>
      <c r="Y114" s="501">
        <v>3161.16</v>
      </c>
      <c r="Z114" s="502"/>
    </row>
    <row r="115" spans="1:26">
      <c r="A115" s="500">
        <v>45048</v>
      </c>
      <c r="B115" s="501">
        <v>2923.39</v>
      </c>
      <c r="C115" s="501">
        <v>2778.13</v>
      </c>
      <c r="D115" s="501">
        <v>2705.32</v>
      </c>
      <c r="E115" s="501">
        <v>2710.72</v>
      </c>
      <c r="F115" s="501">
        <v>2749.55</v>
      </c>
      <c r="G115" s="501">
        <v>2879.68</v>
      </c>
      <c r="H115" s="501">
        <v>3082.54</v>
      </c>
      <c r="I115" s="501">
        <v>3311.69</v>
      </c>
      <c r="J115" s="501">
        <v>3443.27</v>
      </c>
      <c r="K115" s="501">
        <v>3446.96</v>
      </c>
      <c r="L115" s="501">
        <v>3423.3</v>
      </c>
      <c r="M115" s="501">
        <v>3440.15</v>
      </c>
      <c r="N115" s="501">
        <v>3457.13</v>
      </c>
      <c r="O115" s="501">
        <v>3459.13</v>
      </c>
      <c r="P115" s="501">
        <v>3428.41</v>
      </c>
      <c r="Q115" s="501">
        <v>3391.27</v>
      </c>
      <c r="R115" s="501">
        <v>3370.25</v>
      </c>
      <c r="S115" s="501">
        <v>3361.71</v>
      </c>
      <c r="T115" s="501">
        <v>3358.83</v>
      </c>
      <c r="U115" s="501">
        <v>3365.14</v>
      </c>
      <c r="V115" s="501">
        <v>3380.87</v>
      </c>
      <c r="W115" s="501">
        <v>3357.09</v>
      </c>
      <c r="X115" s="501">
        <v>3187.53</v>
      </c>
      <c r="Y115" s="501">
        <v>2936.25</v>
      </c>
      <c r="Z115" s="502"/>
    </row>
    <row r="116" spans="1:26">
      <c r="A116" s="500">
        <v>45049</v>
      </c>
      <c r="B116" s="501">
        <v>2802.47</v>
      </c>
      <c r="C116" s="501">
        <v>2684.99</v>
      </c>
      <c r="D116" s="501">
        <v>2673</v>
      </c>
      <c r="E116" s="501">
        <v>2682.24</v>
      </c>
      <c r="F116" s="501">
        <v>2715.89</v>
      </c>
      <c r="G116" s="501">
        <v>2835.97</v>
      </c>
      <c r="H116" s="501">
        <v>3020.74</v>
      </c>
      <c r="I116" s="501">
        <v>3219.92</v>
      </c>
      <c r="J116" s="501">
        <v>3372.96</v>
      </c>
      <c r="K116" s="501">
        <v>3422.17</v>
      </c>
      <c r="L116" s="501">
        <v>3419.13</v>
      </c>
      <c r="M116" s="501">
        <v>3404.83</v>
      </c>
      <c r="N116" s="501">
        <v>3409.18</v>
      </c>
      <c r="O116" s="501">
        <v>3415.51</v>
      </c>
      <c r="P116" s="501">
        <v>3402.42</v>
      </c>
      <c r="Q116" s="501">
        <v>3400.04</v>
      </c>
      <c r="R116" s="501">
        <v>3410.89</v>
      </c>
      <c r="S116" s="501">
        <v>3403.48</v>
      </c>
      <c r="T116" s="501">
        <v>3383.74</v>
      </c>
      <c r="U116" s="501">
        <v>3401.16</v>
      </c>
      <c r="V116" s="501">
        <v>3397.9</v>
      </c>
      <c r="W116" s="501">
        <v>3363.99</v>
      </c>
      <c r="X116" s="501">
        <v>3158.32</v>
      </c>
      <c r="Y116" s="501">
        <v>2962.98</v>
      </c>
      <c r="Z116" s="502"/>
    </row>
    <row r="117" spans="1:26">
      <c r="A117" s="500">
        <v>45050</v>
      </c>
      <c r="B117" s="501">
        <v>2760.79</v>
      </c>
      <c r="C117" s="501">
        <v>2671.64</v>
      </c>
      <c r="D117" s="501">
        <v>2616.9299999999998</v>
      </c>
      <c r="E117" s="501">
        <v>2610.66</v>
      </c>
      <c r="F117" s="501">
        <v>2670.67</v>
      </c>
      <c r="G117" s="501">
        <v>2752.78</v>
      </c>
      <c r="H117" s="501">
        <v>2956.86</v>
      </c>
      <c r="I117" s="501">
        <v>3169.03</v>
      </c>
      <c r="J117" s="501">
        <v>3238.55</v>
      </c>
      <c r="K117" s="501">
        <v>3313.5</v>
      </c>
      <c r="L117" s="501">
        <v>3347.98</v>
      </c>
      <c r="M117" s="501">
        <v>3346.16</v>
      </c>
      <c r="N117" s="501">
        <v>3350.11</v>
      </c>
      <c r="O117" s="501">
        <v>3351.38</v>
      </c>
      <c r="P117" s="501">
        <v>3338.35</v>
      </c>
      <c r="Q117" s="501">
        <v>3314.25</v>
      </c>
      <c r="R117" s="501">
        <v>3291.62</v>
      </c>
      <c r="S117" s="501">
        <v>3263.27</v>
      </c>
      <c r="T117" s="501">
        <v>3227.59</v>
      </c>
      <c r="U117" s="501">
        <v>3294.26</v>
      </c>
      <c r="V117" s="501">
        <v>3339.15</v>
      </c>
      <c r="W117" s="501">
        <v>3335.72</v>
      </c>
      <c r="X117" s="501">
        <v>3185.54</v>
      </c>
      <c r="Y117" s="501">
        <v>2985.77</v>
      </c>
      <c r="Z117" s="502"/>
    </row>
    <row r="118" spans="1:26">
      <c r="A118" s="500">
        <v>45051</v>
      </c>
      <c r="B118" s="501">
        <v>2941.46</v>
      </c>
      <c r="C118" s="501">
        <v>2788.3</v>
      </c>
      <c r="D118" s="501">
        <v>2728.81</v>
      </c>
      <c r="E118" s="501">
        <v>2715.32</v>
      </c>
      <c r="F118" s="501">
        <v>2776.21</v>
      </c>
      <c r="G118" s="501">
        <v>2913.71</v>
      </c>
      <c r="H118" s="501">
        <v>3036.82</v>
      </c>
      <c r="I118" s="501">
        <v>3225.02</v>
      </c>
      <c r="J118" s="501">
        <v>3367.58</v>
      </c>
      <c r="K118" s="501">
        <v>3407.86</v>
      </c>
      <c r="L118" s="501">
        <v>3435.98</v>
      </c>
      <c r="M118" s="501">
        <v>3463.1</v>
      </c>
      <c r="N118" s="501">
        <v>3450.66</v>
      </c>
      <c r="O118" s="501">
        <v>3466.57</v>
      </c>
      <c r="P118" s="501">
        <v>3447.61</v>
      </c>
      <c r="Q118" s="501">
        <v>3420.42</v>
      </c>
      <c r="R118" s="501">
        <v>3401.79</v>
      </c>
      <c r="S118" s="501">
        <v>3385.95</v>
      </c>
      <c r="T118" s="501">
        <v>3372.04</v>
      </c>
      <c r="U118" s="501">
        <v>3368.3</v>
      </c>
      <c r="V118" s="501">
        <v>3375.74</v>
      </c>
      <c r="W118" s="501">
        <v>3372.08</v>
      </c>
      <c r="X118" s="501">
        <v>3257.5</v>
      </c>
      <c r="Y118" s="501">
        <v>3083.9</v>
      </c>
      <c r="Z118" s="502"/>
    </row>
    <row r="119" spans="1:26">
      <c r="A119" s="500">
        <v>45052</v>
      </c>
      <c r="B119" s="501">
        <v>3036.61</v>
      </c>
      <c r="C119" s="501">
        <v>2981.64</v>
      </c>
      <c r="D119" s="501">
        <v>2893.68</v>
      </c>
      <c r="E119" s="501">
        <v>2789.65</v>
      </c>
      <c r="F119" s="501">
        <v>2795.52</v>
      </c>
      <c r="G119" s="501">
        <v>2899.98</v>
      </c>
      <c r="H119" s="501">
        <v>2963.88</v>
      </c>
      <c r="I119" s="501">
        <v>3059.66</v>
      </c>
      <c r="J119" s="501">
        <v>3316.45</v>
      </c>
      <c r="K119" s="501">
        <v>3414.59</v>
      </c>
      <c r="L119" s="501">
        <v>3455.55</v>
      </c>
      <c r="M119" s="501">
        <v>3431.43</v>
      </c>
      <c r="N119" s="501">
        <v>3398.41</v>
      </c>
      <c r="O119" s="501">
        <v>3391.67</v>
      </c>
      <c r="P119" s="501">
        <v>3382.66</v>
      </c>
      <c r="Q119" s="501">
        <v>3380.14</v>
      </c>
      <c r="R119" s="501">
        <v>3366.96</v>
      </c>
      <c r="S119" s="501">
        <v>3346.55</v>
      </c>
      <c r="T119" s="501">
        <v>3345.39</v>
      </c>
      <c r="U119" s="501">
        <v>3396.16</v>
      </c>
      <c r="V119" s="501">
        <v>3418.51</v>
      </c>
      <c r="W119" s="501">
        <v>3375.18</v>
      </c>
      <c r="X119" s="501">
        <v>3315.71</v>
      </c>
      <c r="Y119" s="501">
        <v>3108.76</v>
      </c>
      <c r="Z119" s="502"/>
    </row>
    <row r="120" spans="1:26">
      <c r="A120" s="500">
        <v>45053</v>
      </c>
      <c r="B120" s="501">
        <v>3005.23</v>
      </c>
      <c r="C120" s="501">
        <v>2884.95</v>
      </c>
      <c r="D120" s="501">
        <v>2779.77</v>
      </c>
      <c r="E120" s="501">
        <v>2734.67</v>
      </c>
      <c r="F120" s="501">
        <v>2722.56</v>
      </c>
      <c r="G120" s="501">
        <v>2698.47</v>
      </c>
      <c r="H120" s="501">
        <v>2824.44</v>
      </c>
      <c r="I120" s="501">
        <v>2913.65</v>
      </c>
      <c r="J120" s="501">
        <v>3047.17</v>
      </c>
      <c r="K120" s="501">
        <v>3154.39</v>
      </c>
      <c r="L120" s="501">
        <v>3171.98</v>
      </c>
      <c r="M120" s="501">
        <v>3173.17</v>
      </c>
      <c r="N120" s="501">
        <v>3168</v>
      </c>
      <c r="O120" s="501">
        <v>3160.15</v>
      </c>
      <c r="P120" s="501">
        <v>3153.84</v>
      </c>
      <c r="Q120" s="501">
        <v>3153.78</v>
      </c>
      <c r="R120" s="501">
        <v>3156.16</v>
      </c>
      <c r="S120" s="501">
        <v>3158.37</v>
      </c>
      <c r="T120" s="501">
        <v>3186.98</v>
      </c>
      <c r="U120" s="501">
        <v>3246.54</v>
      </c>
      <c r="V120" s="501">
        <v>3331.88</v>
      </c>
      <c r="W120" s="501">
        <v>3255.49</v>
      </c>
      <c r="X120" s="501">
        <v>3197.39</v>
      </c>
      <c r="Y120" s="501">
        <v>3015.16</v>
      </c>
      <c r="Z120" s="502"/>
    </row>
    <row r="121" spans="1:26">
      <c r="A121" s="500">
        <v>45054</v>
      </c>
      <c r="B121" s="501">
        <v>2998.87</v>
      </c>
      <c r="C121" s="501">
        <v>2913.16</v>
      </c>
      <c r="D121" s="501">
        <v>2810.22</v>
      </c>
      <c r="E121" s="501">
        <v>2655.31</v>
      </c>
      <c r="F121" s="501">
        <v>2645.45</v>
      </c>
      <c r="G121" s="501">
        <v>2666.17</v>
      </c>
      <c r="H121" s="501">
        <v>2866.56</v>
      </c>
      <c r="I121" s="501">
        <v>2976.8</v>
      </c>
      <c r="J121" s="501">
        <v>3154.81</v>
      </c>
      <c r="K121" s="501">
        <v>3308.86</v>
      </c>
      <c r="L121" s="501">
        <v>3333.06</v>
      </c>
      <c r="M121" s="501">
        <v>3332.66</v>
      </c>
      <c r="N121" s="501">
        <v>3322.38</v>
      </c>
      <c r="O121" s="501">
        <v>3317.72</v>
      </c>
      <c r="P121" s="501">
        <v>3314.2</v>
      </c>
      <c r="Q121" s="501">
        <v>3310.07</v>
      </c>
      <c r="R121" s="501">
        <v>3300.82</v>
      </c>
      <c r="S121" s="501">
        <v>3267.9</v>
      </c>
      <c r="T121" s="501">
        <v>3285.82</v>
      </c>
      <c r="U121" s="501">
        <v>3327.42</v>
      </c>
      <c r="V121" s="501">
        <v>3341.91</v>
      </c>
      <c r="W121" s="501">
        <v>3288.27</v>
      </c>
      <c r="X121" s="501">
        <v>3235.89</v>
      </c>
      <c r="Y121" s="501">
        <v>3082.29</v>
      </c>
      <c r="Z121" s="502"/>
    </row>
    <row r="122" spans="1:26">
      <c r="A122" s="500">
        <v>45055</v>
      </c>
      <c r="B122" s="501">
        <v>3034.71</v>
      </c>
      <c r="C122" s="501">
        <v>2947.07</v>
      </c>
      <c r="D122" s="501">
        <v>2897.85</v>
      </c>
      <c r="E122" s="501">
        <v>2863.1</v>
      </c>
      <c r="F122" s="501">
        <v>2839.46</v>
      </c>
      <c r="G122" s="501">
        <v>2843</v>
      </c>
      <c r="H122" s="501">
        <v>2886.24</v>
      </c>
      <c r="I122" s="501">
        <v>2979.3</v>
      </c>
      <c r="J122" s="501">
        <v>3194.01</v>
      </c>
      <c r="K122" s="501">
        <v>3276.35</v>
      </c>
      <c r="L122" s="501">
        <v>3322.47</v>
      </c>
      <c r="M122" s="501">
        <v>3303.01</v>
      </c>
      <c r="N122" s="501">
        <v>3296.25</v>
      </c>
      <c r="O122" s="501">
        <v>3292.91</v>
      </c>
      <c r="P122" s="501">
        <v>3288.68</v>
      </c>
      <c r="Q122" s="501">
        <v>3280.15</v>
      </c>
      <c r="R122" s="501">
        <v>3252.52</v>
      </c>
      <c r="S122" s="501">
        <v>3252.02</v>
      </c>
      <c r="T122" s="501">
        <v>3268.12</v>
      </c>
      <c r="U122" s="501">
        <v>3311.25</v>
      </c>
      <c r="V122" s="501">
        <v>3367.86</v>
      </c>
      <c r="W122" s="501">
        <v>3351.81</v>
      </c>
      <c r="X122" s="501">
        <v>3309.61</v>
      </c>
      <c r="Y122" s="501">
        <v>3135.08</v>
      </c>
      <c r="Z122" s="502"/>
    </row>
    <row r="123" spans="1:26">
      <c r="A123" s="500">
        <v>45056</v>
      </c>
      <c r="B123" s="501">
        <v>3111.57</v>
      </c>
      <c r="C123" s="501">
        <v>2963.68</v>
      </c>
      <c r="D123" s="501">
        <v>2899.68</v>
      </c>
      <c r="E123" s="501">
        <v>2865.25</v>
      </c>
      <c r="F123" s="501">
        <v>2898.26</v>
      </c>
      <c r="G123" s="501">
        <v>2976.87</v>
      </c>
      <c r="H123" s="501">
        <v>3162.01</v>
      </c>
      <c r="I123" s="501">
        <v>3396.1</v>
      </c>
      <c r="J123" s="501">
        <v>3446.81</v>
      </c>
      <c r="K123" s="501">
        <v>3450.11</v>
      </c>
      <c r="L123" s="501">
        <v>3441.16</v>
      </c>
      <c r="M123" s="501">
        <v>3475.26</v>
      </c>
      <c r="N123" s="501">
        <v>3482.4</v>
      </c>
      <c r="O123" s="501">
        <v>3489.26</v>
      </c>
      <c r="P123" s="501">
        <v>3473.91</v>
      </c>
      <c r="Q123" s="501">
        <v>3463.41</v>
      </c>
      <c r="R123" s="501">
        <v>3442.67</v>
      </c>
      <c r="S123" s="501">
        <v>3422.6</v>
      </c>
      <c r="T123" s="501">
        <v>3415.85</v>
      </c>
      <c r="U123" s="501">
        <v>3402.11</v>
      </c>
      <c r="V123" s="501">
        <v>3413.38</v>
      </c>
      <c r="W123" s="501">
        <v>3418.22</v>
      </c>
      <c r="X123" s="501">
        <v>3237.07</v>
      </c>
      <c r="Y123" s="501">
        <v>3131.27</v>
      </c>
      <c r="Z123" s="502"/>
    </row>
    <row r="124" spans="1:26">
      <c r="A124" s="500">
        <v>45057</v>
      </c>
      <c r="B124" s="501">
        <v>2816.57</v>
      </c>
      <c r="C124" s="501">
        <v>2698.74</v>
      </c>
      <c r="D124" s="501">
        <v>2662.4</v>
      </c>
      <c r="E124" s="501">
        <v>2629.54</v>
      </c>
      <c r="F124" s="501">
        <v>2660.29</v>
      </c>
      <c r="G124" s="501">
        <v>2762.48</v>
      </c>
      <c r="H124" s="501">
        <v>3321.57</v>
      </c>
      <c r="I124" s="501">
        <v>3336.72</v>
      </c>
      <c r="J124" s="501">
        <v>3429.36</v>
      </c>
      <c r="K124" s="501">
        <v>3432.29</v>
      </c>
      <c r="L124" s="501">
        <v>3386.64</v>
      </c>
      <c r="M124" s="501">
        <v>3431.76</v>
      </c>
      <c r="N124" s="501">
        <v>3440.8</v>
      </c>
      <c r="O124" s="501">
        <v>3428.67</v>
      </c>
      <c r="P124" s="501">
        <v>3402.31</v>
      </c>
      <c r="Q124" s="501">
        <v>3328.42</v>
      </c>
      <c r="R124" s="501">
        <v>3276.52</v>
      </c>
      <c r="S124" s="501">
        <v>3260.31</v>
      </c>
      <c r="T124" s="501">
        <v>3243.43</v>
      </c>
      <c r="U124" s="501">
        <v>3255.28</v>
      </c>
      <c r="V124" s="501">
        <v>3284.87</v>
      </c>
      <c r="W124" s="501">
        <v>3285.32</v>
      </c>
      <c r="X124" s="501">
        <v>3154.64</v>
      </c>
      <c r="Y124" s="501">
        <v>2911.66</v>
      </c>
      <c r="Z124" s="502"/>
    </row>
    <row r="125" spans="1:26">
      <c r="A125" s="500">
        <v>45058</v>
      </c>
      <c r="B125" s="501">
        <v>2800.42</v>
      </c>
      <c r="C125" s="501">
        <v>2684.47</v>
      </c>
      <c r="D125" s="501">
        <v>2629.46</v>
      </c>
      <c r="E125" s="501">
        <v>2591.83</v>
      </c>
      <c r="F125" s="501">
        <v>2680.25</v>
      </c>
      <c r="G125" s="501">
        <v>3057.33</v>
      </c>
      <c r="H125" s="501">
        <v>3492.71</v>
      </c>
      <c r="I125" s="501">
        <v>3531.93</v>
      </c>
      <c r="J125" s="501">
        <v>3551.64</v>
      </c>
      <c r="K125" s="501">
        <v>3555.04</v>
      </c>
      <c r="L125" s="501">
        <v>3550.42</v>
      </c>
      <c r="M125" s="501">
        <v>3540.53</v>
      </c>
      <c r="N125" s="501">
        <v>3545.48</v>
      </c>
      <c r="O125" s="501">
        <v>3542.73</v>
      </c>
      <c r="P125" s="501">
        <v>3627.65</v>
      </c>
      <c r="Q125" s="501">
        <v>3630.92</v>
      </c>
      <c r="R125" s="501">
        <v>3446.6</v>
      </c>
      <c r="S125" s="501">
        <v>3443.89</v>
      </c>
      <c r="T125" s="501">
        <v>3430.78</v>
      </c>
      <c r="U125" s="501">
        <v>3429.99</v>
      </c>
      <c r="V125" s="501">
        <v>3440.99</v>
      </c>
      <c r="W125" s="501">
        <v>3404.01</v>
      </c>
      <c r="X125" s="501">
        <v>3246.48</v>
      </c>
      <c r="Y125" s="501">
        <v>3142.65</v>
      </c>
      <c r="Z125" s="502"/>
    </row>
    <row r="126" spans="1:26">
      <c r="A126" s="500">
        <v>45059</v>
      </c>
      <c r="B126" s="501">
        <v>3087.69</v>
      </c>
      <c r="C126" s="501">
        <v>2862.83</v>
      </c>
      <c r="D126" s="501">
        <v>2733.82</v>
      </c>
      <c r="E126" s="501">
        <v>2708</v>
      </c>
      <c r="F126" s="501">
        <v>2707.33</v>
      </c>
      <c r="G126" s="501">
        <v>2735.07</v>
      </c>
      <c r="H126" s="501">
        <v>2902.75</v>
      </c>
      <c r="I126" s="501">
        <v>3068.73</v>
      </c>
      <c r="J126" s="501">
        <v>3239.34</v>
      </c>
      <c r="K126" s="501">
        <v>3438.35</v>
      </c>
      <c r="L126" s="501">
        <v>3446.66</v>
      </c>
      <c r="M126" s="501">
        <v>3446.83</v>
      </c>
      <c r="N126" s="501">
        <v>3438.12</v>
      </c>
      <c r="O126" s="501">
        <v>3428.24</v>
      </c>
      <c r="P126" s="501">
        <v>3425.2</v>
      </c>
      <c r="Q126" s="501">
        <v>3409.68</v>
      </c>
      <c r="R126" s="501">
        <v>3367.36</v>
      </c>
      <c r="S126" s="501">
        <v>3321.27</v>
      </c>
      <c r="T126" s="501">
        <v>3317.52</v>
      </c>
      <c r="U126" s="501">
        <v>3358.63</v>
      </c>
      <c r="V126" s="501">
        <v>3377.44</v>
      </c>
      <c r="W126" s="501">
        <v>3337.02</v>
      </c>
      <c r="X126" s="501">
        <v>3273.13</v>
      </c>
      <c r="Y126" s="501">
        <v>3115.21</v>
      </c>
      <c r="Z126" s="502"/>
    </row>
    <row r="127" spans="1:26">
      <c r="A127" s="500">
        <v>45060</v>
      </c>
      <c r="B127" s="501">
        <v>2939.53</v>
      </c>
      <c r="C127" s="501">
        <v>2763.24</v>
      </c>
      <c r="D127" s="501">
        <v>2691.78</v>
      </c>
      <c r="E127" s="501">
        <v>2676.08</v>
      </c>
      <c r="F127" s="501">
        <v>2668.09</v>
      </c>
      <c r="G127" s="501">
        <v>2605.79</v>
      </c>
      <c r="H127" s="501">
        <v>2603.87</v>
      </c>
      <c r="I127" s="501">
        <v>2805.32</v>
      </c>
      <c r="J127" s="501">
        <v>3051.32</v>
      </c>
      <c r="K127" s="501">
        <v>3170.45</v>
      </c>
      <c r="L127" s="501">
        <v>3198.06</v>
      </c>
      <c r="M127" s="501">
        <v>3201.49</v>
      </c>
      <c r="N127" s="501">
        <v>3197.07</v>
      </c>
      <c r="O127" s="501">
        <v>3193.89</v>
      </c>
      <c r="P127" s="501">
        <v>3189.81</v>
      </c>
      <c r="Q127" s="501">
        <v>3194.22</v>
      </c>
      <c r="R127" s="501">
        <v>3195.06</v>
      </c>
      <c r="S127" s="501">
        <v>3172.94</v>
      </c>
      <c r="T127" s="501">
        <v>3202.99</v>
      </c>
      <c r="U127" s="501">
        <v>3273.32</v>
      </c>
      <c r="V127" s="501">
        <v>3315.51</v>
      </c>
      <c r="W127" s="501">
        <v>3273.77</v>
      </c>
      <c r="X127" s="501">
        <v>3209.3</v>
      </c>
      <c r="Y127" s="501">
        <v>3072.08</v>
      </c>
      <c r="Z127" s="502"/>
    </row>
    <row r="128" spans="1:26">
      <c r="A128" s="500">
        <v>45061</v>
      </c>
      <c r="B128" s="501">
        <v>2903.55</v>
      </c>
      <c r="C128" s="501">
        <v>2735.07</v>
      </c>
      <c r="D128" s="501">
        <v>2684.02</v>
      </c>
      <c r="E128" s="501">
        <v>2664.85</v>
      </c>
      <c r="F128" s="501">
        <v>2710.1</v>
      </c>
      <c r="G128" s="501">
        <v>2804.43</v>
      </c>
      <c r="H128" s="501">
        <v>3045.69</v>
      </c>
      <c r="I128" s="501">
        <v>3242.91</v>
      </c>
      <c r="J128" s="501">
        <v>3485.61</v>
      </c>
      <c r="K128" s="501">
        <v>3518.66</v>
      </c>
      <c r="L128" s="501">
        <v>3498.63</v>
      </c>
      <c r="M128" s="501">
        <v>3509.81</v>
      </c>
      <c r="N128" s="501">
        <v>3509.22</v>
      </c>
      <c r="O128" s="501">
        <v>3529.76</v>
      </c>
      <c r="P128" s="501">
        <v>3485.92</v>
      </c>
      <c r="Q128" s="501">
        <v>3459.9</v>
      </c>
      <c r="R128" s="501">
        <v>3441.28</v>
      </c>
      <c r="S128" s="501">
        <v>3413.56</v>
      </c>
      <c r="T128" s="501">
        <v>3386.13</v>
      </c>
      <c r="U128" s="501">
        <v>3382.05</v>
      </c>
      <c r="V128" s="501">
        <v>3409.67</v>
      </c>
      <c r="W128" s="501">
        <v>3420.37</v>
      </c>
      <c r="X128" s="501">
        <v>3222.87</v>
      </c>
      <c r="Y128" s="501">
        <v>3093.07</v>
      </c>
      <c r="Z128" s="502"/>
    </row>
    <row r="129" spans="1:26">
      <c r="A129" s="500">
        <v>45062</v>
      </c>
      <c r="B129" s="501">
        <v>2850.46</v>
      </c>
      <c r="C129" s="501">
        <v>2775.36</v>
      </c>
      <c r="D129" s="501">
        <v>2703.76</v>
      </c>
      <c r="E129" s="501">
        <v>2693.16</v>
      </c>
      <c r="F129" s="501">
        <v>2730.67</v>
      </c>
      <c r="G129" s="501">
        <v>2890.12</v>
      </c>
      <c r="H129" s="501">
        <v>3079.55</v>
      </c>
      <c r="I129" s="501">
        <v>3236.98</v>
      </c>
      <c r="J129" s="501">
        <v>3449.92</v>
      </c>
      <c r="K129" s="501">
        <v>3473.46</v>
      </c>
      <c r="L129" s="501">
        <v>3455.83</v>
      </c>
      <c r="M129" s="501">
        <v>3451.55</v>
      </c>
      <c r="N129" s="501">
        <v>3442.47</v>
      </c>
      <c r="O129" s="501">
        <v>3471.03</v>
      </c>
      <c r="P129" s="501">
        <v>3443.48</v>
      </c>
      <c r="Q129" s="501">
        <v>3357.71</v>
      </c>
      <c r="R129" s="501">
        <v>3301.62</v>
      </c>
      <c r="S129" s="501">
        <v>3282.47</v>
      </c>
      <c r="T129" s="501">
        <v>3259.17</v>
      </c>
      <c r="U129" s="501">
        <v>3272.85</v>
      </c>
      <c r="V129" s="501">
        <v>3335.96</v>
      </c>
      <c r="W129" s="501">
        <v>3392.39</v>
      </c>
      <c r="X129" s="501">
        <v>3190.09</v>
      </c>
      <c r="Y129" s="501">
        <v>3006.66</v>
      </c>
      <c r="Z129" s="502"/>
    </row>
    <row r="130" spans="1:26">
      <c r="A130" s="500">
        <v>45063</v>
      </c>
      <c r="B130" s="501">
        <v>2773.47</v>
      </c>
      <c r="C130" s="501">
        <v>2691.71</v>
      </c>
      <c r="D130" s="501">
        <v>2632.65</v>
      </c>
      <c r="E130" s="501">
        <v>2590.9299999999998</v>
      </c>
      <c r="F130" s="501">
        <v>2634.38</v>
      </c>
      <c r="G130" s="501">
        <v>2761.95</v>
      </c>
      <c r="H130" s="501">
        <v>3030.79</v>
      </c>
      <c r="I130" s="501">
        <v>3205.62</v>
      </c>
      <c r="J130" s="501">
        <v>3397.28</v>
      </c>
      <c r="K130" s="501">
        <v>3460.02</v>
      </c>
      <c r="L130" s="501">
        <v>3421.77</v>
      </c>
      <c r="M130" s="501">
        <v>3457.05</v>
      </c>
      <c r="N130" s="501">
        <v>3445.87</v>
      </c>
      <c r="O130" s="501">
        <v>3458.54</v>
      </c>
      <c r="P130" s="501">
        <v>3403.23</v>
      </c>
      <c r="Q130" s="501">
        <v>3339.72</v>
      </c>
      <c r="R130" s="501">
        <v>3278.6</v>
      </c>
      <c r="S130" s="501">
        <v>3252.45</v>
      </c>
      <c r="T130" s="501">
        <v>3238.85</v>
      </c>
      <c r="U130" s="501">
        <v>3254.11</v>
      </c>
      <c r="V130" s="501">
        <v>3290.92</v>
      </c>
      <c r="W130" s="501">
        <v>3358.45</v>
      </c>
      <c r="X130" s="501">
        <v>3200.05</v>
      </c>
      <c r="Y130" s="501">
        <v>2955.55</v>
      </c>
      <c r="Z130" s="502"/>
    </row>
    <row r="131" spans="1:26">
      <c r="A131" s="500">
        <v>45064</v>
      </c>
      <c r="B131" s="501">
        <v>2821.6</v>
      </c>
      <c r="C131" s="501">
        <v>2740.61</v>
      </c>
      <c r="D131" s="501">
        <v>2643.99</v>
      </c>
      <c r="E131" s="501">
        <v>2627.54</v>
      </c>
      <c r="F131" s="501">
        <v>2704.5</v>
      </c>
      <c r="G131" s="501">
        <v>2810.68</v>
      </c>
      <c r="H131" s="501">
        <v>3006.61</v>
      </c>
      <c r="I131" s="501">
        <v>3205.53</v>
      </c>
      <c r="J131" s="501">
        <v>3395.72</v>
      </c>
      <c r="K131" s="501">
        <v>3435.22</v>
      </c>
      <c r="L131" s="501">
        <v>3412.88</v>
      </c>
      <c r="M131" s="501">
        <v>3420.07</v>
      </c>
      <c r="N131" s="501">
        <v>3416.28</v>
      </c>
      <c r="O131" s="501">
        <v>3431.38</v>
      </c>
      <c r="P131" s="501">
        <v>3418.45</v>
      </c>
      <c r="Q131" s="501">
        <v>3403.93</v>
      </c>
      <c r="R131" s="501">
        <v>3408.74</v>
      </c>
      <c r="S131" s="501">
        <v>3407.1</v>
      </c>
      <c r="T131" s="501">
        <v>3395.7</v>
      </c>
      <c r="U131" s="501">
        <v>3418.49</v>
      </c>
      <c r="V131" s="501">
        <v>3424.24</v>
      </c>
      <c r="W131" s="501">
        <v>3431.32</v>
      </c>
      <c r="X131" s="501">
        <v>3236.69</v>
      </c>
      <c r="Y131" s="501">
        <v>3075.41</v>
      </c>
      <c r="Z131" s="502"/>
    </row>
    <row r="132" spans="1:26">
      <c r="A132" s="500">
        <v>45065</v>
      </c>
      <c r="B132" s="501">
        <v>2816.94</v>
      </c>
      <c r="C132" s="501">
        <v>2682.06</v>
      </c>
      <c r="D132" s="501">
        <v>2601.46</v>
      </c>
      <c r="E132" s="501">
        <v>2567.8200000000002</v>
      </c>
      <c r="F132" s="501">
        <v>2597.92</v>
      </c>
      <c r="G132" s="501">
        <v>2867.89</v>
      </c>
      <c r="H132" s="501">
        <v>3048.1</v>
      </c>
      <c r="I132" s="501">
        <v>3306.74</v>
      </c>
      <c r="J132" s="501">
        <v>3494.8</v>
      </c>
      <c r="K132" s="501">
        <v>3544.89</v>
      </c>
      <c r="L132" s="501">
        <v>3532.41</v>
      </c>
      <c r="M132" s="501">
        <v>3547.57</v>
      </c>
      <c r="N132" s="501">
        <v>3548.01</v>
      </c>
      <c r="O132" s="501">
        <v>3550.52</v>
      </c>
      <c r="P132" s="501">
        <v>3536.85</v>
      </c>
      <c r="Q132" s="501">
        <v>3522.57</v>
      </c>
      <c r="R132" s="501">
        <v>3494.38</v>
      </c>
      <c r="S132" s="501">
        <v>3477.35</v>
      </c>
      <c r="T132" s="501">
        <v>3455.57</v>
      </c>
      <c r="U132" s="501">
        <v>3457.22</v>
      </c>
      <c r="V132" s="501">
        <v>3470.29</v>
      </c>
      <c r="W132" s="501">
        <v>3469.29</v>
      </c>
      <c r="X132" s="501">
        <v>3305.38</v>
      </c>
      <c r="Y132" s="501">
        <v>3102.07</v>
      </c>
      <c r="Z132" s="502"/>
    </row>
    <row r="133" spans="1:26">
      <c r="A133" s="500">
        <v>45066</v>
      </c>
      <c r="B133" s="501">
        <v>3097.57</v>
      </c>
      <c r="C133" s="501">
        <v>2982.71</v>
      </c>
      <c r="D133" s="501">
        <v>2910.76</v>
      </c>
      <c r="E133" s="501">
        <v>2810.13</v>
      </c>
      <c r="F133" s="501">
        <v>2807.42</v>
      </c>
      <c r="G133" s="501">
        <v>2868.75</v>
      </c>
      <c r="H133" s="501">
        <v>2975.33</v>
      </c>
      <c r="I133" s="501">
        <v>3154.73</v>
      </c>
      <c r="J133" s="501">
        <v>3355.84</v>
      </c>
      <c r="K133" s="501">
        <v>3487.81</v>
      </c>
      <c r="L133" s="501">
        <v>3525.79</v>
      </c>
      <c r="M133" s="501">
        <v>3508.27</v>
      </c>
      <c r="N133" s="501">
        <v>3434.27</v>
      </c>
      <c r="O133" s="501">
        <v>3409.43</v>
      </c>
      <c r="P133" s="501">
        <v>3397.07</v>
      </c>
      <c r="Q133" s="501">
        <v>3364.41</v>
      </c>
      <c r="R133" s="501">
        <v>3350.27</v>
      </c>
      <c r="S133" s="501">
        <v>3322.2</v>
      </c>
      <c r="T133" s="501">
        <v>3326.5</v>
      </c>
      <c r="U133" s="501">
        <v>3361.84</v>
      </c>
      <c r="V133" s="501">
        <v>3397.25</v>
      </c>
      <c r="W133" s="501">
        <v>3365.36</v>
      </c>
      <c r="X133" s="501">
        <v>3222.23</v>
      </c>
      <c r="Y133" s="501">
        <v>3059.98</v>
      </c>
      <c r="Z133" s="502"/>
    </row>
    <row r="134" spans="1:26">
      <c r="A134" s="500">
        <v>45067</v>
      </c>
      <c r="B134" s="501">
        <v>3036.2</v>
      </c>
      <c r="C134" s="501">
        <v>2907.57</v>
      </c>
      <c r="D134" s="501">
        <v>2797.05</v>
      </c>
      <c r="E134" s="501">
        <v>2722.95</v>
      </c>
      <c r="F134" s="501">
        <v>2719.35</v>
      </c>
      <c r="G134" s="501">
        <v>2691.21</v>
      </c>
      <c r="H134" s="501">
        <v>2774.6</v>
      </c>
      <c r="I134" s="501">
        <v>3000.45</v>
      </c>
      <c r="J134" s="501">
        <v>3168.31</v>
      </c>
      <c r="K134" s="501">
        <v>3284.68</v>
      </c>
      <c r="L134" s="501">
        <v>3319.9</v>
      </c>
      <c r="M134" s="501">
        <v>3328.27</v>
      </c>
      <c r="N134" s="501">
        <v>3323.03</v>
      </c>
      <c r="O134" s="501">
        <v>3315.21</v>
      </c>
      <c r="P134" s="501">
        <v>3318.16</v>
      </c>
      <c r="Q134" s="501">
        <v>3320.25</v>
      </c>
      <c r="R134" s="501">
        <v>3315.43</v>
      </c>
      <c r="S134" s="501">
        <v>3309.3</v>
      </c>
      <c r="T134" s="501">
        <v>3371.09</v>
      </c>
      <c r="U134" s="501">
        <v>3456.71</v>
      </c>
      <c r="V134" s="501">
        <v>3486.82</v>
      </c>
      <c r="W134" s="501">
        <v>3423.47</v>
      </c>
      <c r="X134" s="501">
        <v>3274.75</v>
      </c>
      <c r="Y134" s="501">
        <v>3104.11</v>
      </c>
      <c r="Z134" s="502"/>
    </row>
    <row r="135" spans="1:26">
      <c r="A135" s="500">
        <v>45068</v>
      </c>
      <c r="B135" s="501">
        <v>2917.34</v>
      </c>
      <c r="C135" s="501">
        <v>2779.41</v>
      </c>
      <c r="D135" s="501">
        <v>2718.54</v>
      </c>
      <c r="E135" s="501">
        <v>2714.14</v>
      </c>
      <c r="F135" s="501">
        <v>2716.93</v>
      </c>
      <c r="G135" s="501">
        <v>2780.13</v>
      </c>
      <c r="H135" s="501">
        <v>3033.85</v>
      </c>
      <c r="I135" s="501">
        <v>3279.4</v>
      </c>
      <c r="J135" s="501">
        <v>3505.96</v>
      </c>
      <c r="K135" s="501">
        <v>3551.6</v>
      </c>
      <c r="L135" s="501">
        <v>3533.36</v>
      </c>
      <c r="M135" s="501">
        <v>3532.23</v>
      </c>
      <c r="N135" s="501">
        <v>3487.9</v>
      </c>
      <c r="O135" s="501">
        <v>3516.84</v>
      </c>
      <c r="P135" s="501">
        <v>3497.14</v>
      </c>
      <c r="Q135" s="501">
        <v>3468.64</v>
      </c>
      <c r="R135" s="501">
        <v>3449.26</v>
      </c>
      <c r="S135" s="501">
        <v>3457.02</v>
      </c>
      <c r="T135" s="501">
        <v>3439.76</v>
      </c>
      <c r="U135" s="501">
        <v>3413.9</v>
      </c>
      <c r="V135" s="501">
        <v>3443.82</v>
      </c>
      <c r="W135" s="501">
        <v>3470.63</v>
      </c>
      <c r="X135" s="501">
        <v>3211.31</v>
      </c>
      <c r="Y135" s="501">
        <v>3038.32</v>
      </c>
      <c r="Z135" s="502"/>
    </row>
    <row r="136" spans="1:26">
      <c r="A136" s="500">
        <v>45069</v>
      </c>
      <c r="B136" s="501">
        <v>2935.23</v>
      </c>
      <c r="C136" s="501">
        <v>2792.27</v>
      </c>
      <c r="D136" s="501">
        <v>2707.69</v>
      </c>
      <c r="E136" s="501">
        <v>2680.22</v>
      </c>
      <c r="F136" s="501">
        <v>2842.47</v>
      </c>
      <c r="G136" s="501">
        <v>3001.85</v>
      </c>
      <c r="H136" s="501">
        <v>3094.72</v>
      </c>
      <c r="I136" s="501">
        <v>3281.95</v>
      </c>
      <c r="J136" s="501">
        <v>3462.36</v>
      </c>
      <c r="K136" s="501">
        <v>3503.53</v>
      </c>
      <c r="L136" s="501">
        <v>3447.42</v>
      </c>
      <c r="M136" s="501">
        <v>3513.68</v>
      </c>
      <c r="N136" s="501">
        <v>3520.16</v>
      </c>
      <c r="O136" s="501">
        <v>3533.96</v>
      </c>
      <c r="P136" s="501">
        <v>3498.63</v>
      </c>
      <c r="Q136" s="501">
        <v>3476.28</v>
      </c>
      <c r="R136" s="501">
        <v>3459.39</v>
      </c>
      <c r="S136" s="501">
        <v>3429.94</v>
      </c>
      <c r="T136" s="501">
        <v>3401.34</v>
      </c>
      <c r="U136" s="501">
        <v>3389.32</v>
      </c>
      <c r="V136" s="501">
        <v>3392.33</v>
      </c>
      <c r="W136" s="501">
        <v>3389.34</v>
      </c>
      <c r="X136" s="501">
        <v>3223.52</v>
      </c>
      <c r="Y136" s="501">
        <v>2991.89</v>
      </c>
      <c r="Z136" s="502"/>
    </row>
    <row r="137" spans="1:26">
      <c r="A137" s="500">
        <v>45070</v>
      </c>
      <c r="B137" s="501">
        <v>2955.61</v>
      </c>
      <c r="C137" s="501">
        <v>2757.98</v>
      </c>
      <c r="D137" s="501">
        <v>2726.77</v>
      </c>
      <c r="E137" s="501">
        <v>2691.94</v>
      </c>
      <c r="F137" s="501">
        <v>2713.83</v>
      </c>
      <c r="G137" s="501">
        <v>2908.72</v>
      </c>
      <c r="H137" s="501">
        <v>3234.77</v>
      </c>
      <c r="I137" s="501">
        <v>3402.8</v>
      </c>
      <c r="J137" s="501">
        <v>3500.63</v>
      </c>
      <c r="K137" s="501">
        <v>3515.31</v>
      </c>
      <c r="L137" s="501">
        <v>3506.08</v>
      </c>
      <c r="M137" s="501">
        <v>3496.41</v>
      </c>
      <c r="N137" s="501">
        <v>3492.23</v>
      </c>
      <c r="O137" s="501">
        <v>3497.82</v>
      </c>
      <c r="P137" s="501">
        <v>3492.8</v>
      </c>
      <c r="Q137" s="501">
        <v>3499.69</v>
      </c>
      <c r="R137" s="501">
        <v>3486.24</v>
      </c>
      <c r="S137" s="501">
        <v>3479.15</v>
      </c>
      <c r="T137" s="501">
        <v>3476.63</v>
      </c>
      <c r="U137" s="501">
        <v>3479.13</v>
      </c>
      <c r="V137" s="501">
        <v>3481.35</v>
      </c>
      <c r="W137" s="501">
        <v>3471.82</v>
      </c>
      <c r="X137" s="501">
        <v>3368.51</v>
      </c>
      <c r="Y137" s="501">
        <v>3070.14</v>
      </c>
      <c r="Z137" s="502"/>
    </row>
    <row r="138" spans="1:26">
      <c r="A138" s="500">
        <v>45071</v>
      </c>
      <c r="B138" s="501">
        <v>2795.46</v>
      </c>
      <c r="C138" s="501">
        <v>2694.98</v>
      </c>
      <c r="D138" s="501">
        <v>2640.31</v>
      </c>
      <c r="E138" s="501">
        <v>2601.36</v>
      </c>
      <c r="F138" s="501">
        <v>2614.4499999999998</v>
      </c>
      <c r="G138" s="501">
        <v>2798.61</v>
      </c>
      <c r="H138" s="501">
        <v>3197.23</v>
      </c>
      <c r="I138" s="501">
        <v>3356.67</v>
      </c>
      <c r="J138" s="501">
        <v>3525.64</v>
      </c>
      <c r="K138" s="501">
        <v>3523.4</v>
      </c>
      <c r="L138" s="501">
        <v>3518.03</v>
      </c>
      <c r="M138" s="501">
        <v>3513.72</v>
      </c>
      <c r="N138" s="501">
        <v>3516.14</v>
      </c>
      <c r="O138" s="501">
        <v>3514.78</v>
      </c>
      <c r="P138" s="501">
        <v>3533</v>
      </c>
      <c r="Q138" s="501">
        <v>3530.68</v>
      </c>
      <c r="R138" s="501">
        <v>3509.51</v>
      </c>
      <c r="S138" s="501">
        <v>3506.04</v>
      </c>
      <c r="T138" s="501">
        <v>3503.52</v>
      </c>
      <c r="U138" s="501">
        <v>3507.71</v>
      </c>
      <c r="V138" s="501">
        <v>3511.33</v>
      </c>
      <c r="W138" s="501">
        <v>3496.17</v>
      </c>
      <c r="X138" s="501">
        <v>3393.45</v>
      </c>
      <c r="Y138" s="501">
        <v>3005.16</v>
      </c>
      <c r="Z138" s="502"/>
    </row>
    <row r="139" spans="1:26">
      <c r="A139" s="500">
        <v>45072</v>
      </c>
      <c r="B139" s="501">
        <v>2889.8</v>
      </c>
      <c r="C139" s="501">
        <v>2759.62</v>
      </c>
      <c r="D139" s="501">
        <v>2702.61</v>
      </c>
      <c r="E139" s="501">
        <v>2666.36</v>
      </c>
      <c r="F139" s="501">
        <v>2702.47</v>
      </c>
      <c r="G139" s="501">
        <v>2824.01</v>
      </c>
      <c r="H139" s="501">
        <v>3239.45</v>
      </c>
      <c r="I139" s="501">
        <v>3407.64</v>
      </c>
      <c r="J139" s="501">
        <v>3608.75</v>
      </c>
      <c r="K139" s="501">
        <v>3613.4</v>
      </c>
      <c r="L139" s="501">
        <v>3611.28</v>
      </c>
      <c r="M139" s="501">
        <v>3607.42</v>
      </c>
      <c r="N139" s="501">
        <v>3609.77</v>
      </c>
      <c r="O139" s="501">
        <v>3609.95</v>
      </c>
      <c r="P139" s="501">
        <v>3623.4</v>
      </c>
      <c r="Q139" s="501">
        <v>3617.98</v>
      </c>
      <c r="R139" s="501">
        <v>3594.78</v>
      </c>
      <c r="S139" s="501">
        <v>3589.73</v>
      </c>
      <c r="T139" s="501">
        <v>3585.6</v>
      </c>
      <c r="U139" s="501">
        <v>3583.13</v>
      </c>
      <c r="V139" s="501">
        <v>3590.23</v>
      </c>
      <c r="W139" s="501">
        <v>3578.06</v>
      </c>
      <c r="X139" s="501">
        <v>3515.45</v>
      </c>
      <c r="Y139" s="501">
        <v>3245.04</v>
      </c>
      <c r="Z139" s="502"/>
    </row>
    <row r="140" spans="1:26">
      <c r="A140" s="500">
        <v>45073</v>
      </c>
      <c r="B140" s="501">
        <v>3182.99</v>
      </c>
      <c r="C140" s="501">
        <v>2948.27</v>
      </c>
      <c r="D140" s="501">
        <v>2811.67</v>
      </c>
      <c r="E140" s="501">
        <v>2772.71</v>
      </c>
      <c r="F140" s="501">
        <v>2756.56</v>
      </c>
      <c r="G140" s="501">
        <v>2743.83</v>
      </c>
      <c r="H140" s="501">
        <v>3076.39</v>
      </c>
      <c r="I140" s="501">
        <v>3238.67</v>
      </c>
      <c r="J140" s="501">
        <v>3485.43</v>
      </c>
      <c r="K140" s="501">
        <v>3537.31</v>
      </c>
      <c r="L140" s="501">
        <v>3536.67</v>
      </c>
      <c r="M140" s="501">
        <v>3536.09</v>
      </c>
      <c r="N140" s="501">
        <v>3534.66</v>
      </c>
      <c r="O140" s="501">
        <v>3529.65</v>
      </c>
      <c r="P140" s="501">
        <v>3522.1</v>
      </c>
      <c r="Q140" s="501">
        <v>3519.26</v>
      </c>
      <c r="R140" s="501">
        <v>3520.32</v>
      </c>
      <c r="S140" s="501">
        <v>3495.94</v>
      </c>
      <c r="T140" s="501">
        <v>3492.9</v>
      </c>
      <c r="U140" s="501">
        <v>3497.81</v>
      </c>
      <c r="V140" s="501">
        <v>3529.63</v>
      </c>
      <c r="W140" s="501">
        <v>3520.95</v>
      </c>
      <c r="X140" s="501">
        <v>3458.12</v>
      </c>
      <c r="Y140" s="501">
        <v>3145.28</v>
      </c>
      <c r="Z140" s="502"/>
    </row>
    <row r="141" spans="1:26">
      <c r="A141" s="500">
        <v>45074</v>
      </c>
      <c r="B141" s="501">
        <v>3057.33</v>
      </c>
      <c r="C141" s="501">
        <v>2896.4</v>
      </c>
      <c r="D141" s="501">
        <v>2781.54</v>
      </c>
      <c r="E141" s="501">
        <v>2753.8</v>
      </c>
      <c r="F141" s="501">
        <v>2732</v>
      </c>
      <c r="G141" s="501">
        <v>2721.37</v>
      </c>
      <c r="H141" s="501">
        <v>2935.85</v>
      </c>
      <c r="I141" s="501">
        <v>3091.9</v>
      </c>
      <c r="J141" s="501">
        <v>3341.5</v>
      </c>
      <c r="K141" s="501">
        <v>3479.62</v>
      </c>
      <c r="L141" s="501">
        <v>3484.87</v>
      </c>
      <c r="M141" s="501">
        <v>3483.28</v>
      </c>
      <c r="N141" s="501">
        <v>3483</v>
      </c>
      <c r="O141" s="501">
        <v>3483.11</v>
      </c>
      <c r="P141" s="501">
        <v>3482.82</v>
      </c>
      <c r="Q141" s="501">
        <v>3483.85</v>
      </c>
      <c r="R141" s="501">
        <v>3490.29</v>
      </c>
      <c r="S141" s="501">
        <v>3492.86</v>
      </c>
      <c r="T141" s="501">
        <v>3490.95</v>
      </c>
      <c r="U141" s="501">
        <v>3487.83</v>
      </c>
      <c r="V141" s="501">
        <v>3499.77</v>
      </c>
      <c r="W141" s="501">
        <v>3490.29</v>
      </c>
      <c r="X141" s="501">
        <v>3412.5</v>
      </c>
      <c r="Y141" s="501">
        <v>3127.74</v>
      </c>
      <c r="Z141" s="502"/>
    </row>
    <row r="142" spans="1:26">
      <c r="A142" s="500">
        <v>45075</v>
      </c>
      <c r="B142" s="501">
        <v>2982.86</v>
      </c>
      <c r="C142" s="501">
        <v>2827.56</v>
      </c>
      <c r="D142" s="501">
        <v>2742.59</v>
      </c>
      <c r="E142" s="501">
        <v>2706.9</v>
      </c>
      <c r="F142" s="501">
        <v>2728.8</v>
      </c>
      <c r="G142" s="501">
        <v>2813.21</v>
      </c>
      <c r="H142" s="501">
        <v>3247.37</v>
      </c>
      <c r="I142" s="501">
        <v>3473.48</v>
      </c>
      <c r="J142" s="501">
        <v>3560.85</v>
      </c>
      <c r="K142" s="501">
        <v>3562.45</v>
      </c>
      <c r="L142" s="501">
        <v>3559.37</v>
      </c>
      <c r="M142" s="501">
        <v>3558.24</v>
      </c>
      <c r="N142" s="501">
        <v>3560.11</v>
      </c>
      <c r="O142" s="501">
        <v>3558.1</v>
      </c>
      <c r="P142" s="501">
        <v>3555.6</v>
      </c>
      <c r="Q142" s="501">
        <v>3549.76</v>
      </c>
      <c r="R142" s="501">
        <v>3544.99</v>
      </c>
      <c r="S142" s="501">
        <v>3543.65</v>
      </c>
      <c r="T142" s="501">
        <v>3538.98</v>
      </c>
      <c r="U142" s="501">
        <v>3540.04</v>
      </c>
      <c r="V142" s="501">
        <v>3540.6</v>
      </c>
      <c r="W142" s="501">
        <v>3531.96</v>
      </c>
      <c r="X142" s="501">
        <v>3485.7</v>
      </c>
      <c r="Y142" s="501">
        <v>3099.23</v>
      </c>
      <c r="Z142" s="502"/>
    </row>
    <row r="143" spans="1:26">
      <c r="A143" s="500">
        <v>45076</v>
      </c>
      <c r="B143" s="501">
        <v>2908.78</v>
      </c>
      <c r="C143" s="501">
        <v>2773.14</v>
      </c>
      <c r="D143" s="501">
        <v>2748.02</v>
      </c>
      <c r="E143" s="501">
        <v>2724.65</v>
      </c>
      <c r="F143" s="501">
        <v>2749.82</v>
      </c>
      <c r="G143" s="501">
        <v>2914.37</v>
      </c>
      <c r="H143" s="501">
        <v>3249.35</v>
      </c>
      <c r="I143" s="501">
        <v>3488.26</v>
      </c>
      <c r="J143" s="501">
        <v>3602.61</v>
      </c>
      <c r="K143" s="501">
        <v>3604.52</v>
      </c>
      <c r="L143" s="501">
        <v>3602.8</v>
      </c>
      <c r="M143" s="501">
        <v>3599.01</v>
      </c>
      <c r="N143" s="501">
        <v>3602.36</v>
      </c>
      <c r="O143" s="501">
        <v>3601.7</v>
      </c>
      <c r="P143" s="501">
        <v>3599.34</v>
      </c>
      <c r="Q143" s="501">
        <v>3594.79</v>
      </c>
      <c r="R143" s="501">
        <v>3589.86</v>
      </c>
      <c r="S143" s="501">
        <v>3586.12</v>
      </c>
      <c r="T143" s="501">
        <v>3579.96</v>
      </c>
      <c r="U143" s="501">
        <v>3579.25</v>
      </c>
      <c r="V143" s="501">
        <v>3581.09</v>
      </c>
      <c r="W143" s="501">
        <v>3559.02</v>
      </c>
      <c r="X143" s="501">
        <v>3467.62</v>
      </c>
      <c r="Y143" s="501">
        <v>3126.96</v>
      </c>
      <c r="Z143" s="502"/>
    </row>
    <row r="144" spans="1:26">
      <c r="A144" s="500">
        <v>45077</v>
      </c>
      <c r="B144" s="501">
        <v>2860.81</v>
      </c>
      <c r="C144" s="501">
        <v>2735.25</v>
      </c>
      <c r="D144" s="501">
        <v>2674.75</v>
      </c>
      <c r="E144" s="501">
        <v>2641.07</v>
      </c>
      <c r="F144" s="501">
        <v>2637.07</v>
      </c>
      <c r="G144" s="501">
        <v>2802.06</v>
      </c>
      <c r="H144" s="501">
        <v>3203.22</v>
      </c>
      <c r="I144" s="501">
        <v>3440.98</v>
      </c>
      <c r="J144" s="501">
        <v>3626.86</v>
      </c>
      <c r="K144" s="501">
        <v>3627.03</v>
      </c>
      <c r="L144" s="501">
        <v>3624.58</v>
      </c>
      <c r="M144" s="501">
        <v>3620.79</v>
      </c>
      <c r="N144" s="501">
        <v>3624.17</v>
      </c>
      <c r="O144" s="501">
        <v>3620.84</v>
      </c>
      <c r="P144" s="501">
        <v>3611.69</v>
      </c>
      <c r="Q144" s="501">
        <v>3604.32</v>
      </c>
      <c r="R144" s="501">
        <v>3601.09</v>
      </c>
      <c r="S144" s="501">
        <v>3599.02</v>
      </c>
      <c r="T144" s="501">
        <v>3596.95</v>
      </c>
      <c r="U144" s="501">
        <v>3599.13</v>
      </c>
      <c r="V144" s="501">
        <v>3602.88</v>
      </c>
      <c r="W144" s="501">
        <v>3583.7</v>
      </c>
      <c r="X144" s="501">
        <v>3486.15</v>
      </c>
      <c r="Y144" s="501">
        <v>3183.28</v>
      </c>
      <c r="Z144" s="502"/>
    </row>
    <row r="145" spans="1:26">
      <c r="A145" s="506"/>
      <c r="B145" s="507"/>
      <c r="C145" s="507"/>
      <c r="D145" s="507"/>
      <c r="E145" s="507"/>
      <c r="F145" s="507"/>
      <c r="G145" s="507"/>
      <c r="H145" s="507"/>
      <c r="I145" s="507"/>
      <c r="J145" s="507"/>
      <c r="K145" s="507"/>
      <c r="L145" s="507"/>
      <c r="M145" s="507"/>
      <c r="N145" s="507"/>
      <c r="O145" s="507"/>
      <c r="P145" s="507"/>
      <c r="Q145" s="507"/>
      <c r="R145" s="507"/>
      <c r="S145" s="507"/>
      <c r="T145" s="507"/>
      <c r="U145" s="507"/>
      <c r="V145" s="507"/>
      <c r="W145" s="507"/>
      <c r="X145" s="507"/>
      <c r="Y145" s="507"/>
      <c r="Z145" s="502"/>
    </row>
    <row r="147" spans="1:26" ht="27" customHeight="1">
      <c r="A147" s="871" t="s">
        <v>740</v>
      </c>
      <c r="B147" s="872"/>
      <c r="C147" s="872"/>
      <c r="D147" s="872"/>
      <c r="E147" s="872"/>
      <c r="F147" s="872"/>
      <c r="G147" s="873"/>
      <c r="H147" s="874">
        <v>871272.14</v>
      </c>
      <c r="I147" s="874"/>
    </row>
    <row r="149" spans="1:26">
      <c r="A149" s="875" t="s">
        <v>741</v>
      </c>
      <c r="B149" s="875"/>
      <c r="C149" s="875"/>
      <c r="D149" s="875"/>
      <c r="E149" s="875"/>
      <c r="F149" s="875"/>
      <c r="G149" s="875"/>
      <c r="H149" s="875"/>
      <c r="I149" s="875"/>
      <c r="J149" s="875"/>
      <c r="K149" s="875"/>
    </row>
    <row r="150" spans="1:26">
      <c r="A150" s="875"/>
      <c r="B150" s="875"/>
      <c r="C150" s="875"/>
      <c r="D150" s="875"/>
      <c r="E150" s="875"/>
      <c r="F150" s="875"/>
      <c r="G150" s="875"/>
      <c r="H150" s="875"/>
      <c r="I150" s="875"/>
      <c r="J150" s="875"/>
      <c r="K150" s="875"/>
    </row>
    <row r="151" spans="1:26">
      <c r="A151" s="865"/>
      <c r="B151" s="865"/>
      <c r="C151" s="865"/>
      <c r="D151" s="865" t="s">
        <v>418</v>
      </c>
      <c r="E151" s="865"/>
      <c r="F151" s="865"/>
      <c r="G151" s="865"/>
      <c r="H151" s="865"/>
      <c r="I151" s="865"/>
      <c r="J151" s="865"/>
      <c r="K151" s="865"/>
    </row>
    <row r="152" spans="1:26">
      <c r="A152" s="865"/>
      <c r="B152" s="865"/>
      <c r="C152" s="865"/>
      <c r="D152" s="865" t="s">
        <v>417</v>
      </c>
      <c r="E152" s="865"/>
      <c r="F152" s="865" t="s">
        <v>742</v>
      </c>
      <c r="G152" s="865"/>
      <c r="H152" s="865" t="s">
        <v>743</v>
      </c>
      <c r="I152" s="865"/>
      <c r="J152" s="865" t="s">
        <v>744</v>
      </c>
      <c r="K152" s="865"/>
    </row>
    <row r="153" spans="1:26" ht="37" customHeight="1">
      <c r="A153" s="876" t="s">
        <v>745</v>
      </c>
      <c r="B153" s="876"/>
      <c r="C153" s="876"/>
      <c r="D153" s="864">
        <v>1177528.28</v>
      </c>
      <c r="E153" s="865"/>
      <c r="F153" s="864">
        <v>1394743.18</v>
      </c>
      <c r="G153" s="865"/>
      <c r="H153" s="864">
        <v>1726726.93</v>
      </c>
      <c r="I153" s="865"/>
      <c r="J153" s="864">
        <v>1858968.69</v>
      </c>
      <c r="K153" s="865"/>
    </row>
    <row r="154" spans="1:26" ht="25" customHeight="1">
      <c r="B154" s="870" t="s">
        <v>746</v>
      </c>
      <c r="C154" s="870"/>
      <c r="D154" s="870"/>
      <c r="E154" s="870"/>
      <c r="F154" s="870"/>
      <c r="G154" s="870"/>
      <c r="H154" s="870"/>
      <c r="I154" s="870"/>
      <c r="J154" s="870"/>
      <c r="K154" s="870"/>
      <c r="L154" s="870"/>
      <c r="M154" s="870"/>
      <c r="N154" s="870"/>
      <c r="O154" s="870"/>
      <c r="P154" s="870"/>
      <c r="Q154" s="870"/>
      <c r="R154" s="870"/>
      <c r="S154" s="870"/>
      <c r="T154" s="870"/>
      <c r="U154" s="870"/>
      <c r="V154" s="870"/>
      <c r="W154" s="870"/>
      <c r="X154" s="870"/>
      <c r="Y154" s="870"/>
      <c r="Z154" s="870"/>
    </row>
    <row r="155" spans="1:26" ht="19" customHeight="1">
      <c r="A155" s="487"/>
      <c r="B155" s="870"/>
      <c r="C155" s="870"/>
      <c r="D155" s="870"/>
      <c r="E155" s="870"/>
      <c r="F155" s="870"/>
      <c r="G155" s="870"/>
      <c r="H155" s="870"/>
      <c r="I155" s="870"/>
      <c r="J155" s="870"/>
      <c r="K155" s="870"/>
      <c r="L155" s="870"/>
      <c r="M155" s="870"/>
      <c r="N155" s="870"/>
      <c r="O155" s="870"/>
      <c r="P155" s="870"/>
      <c r="Q155" s="870"/>
      <c r="R155" s="870"/>
      <c r="S155" s="870"/>
      <c r="T155" s="870"/>
      <c r="U155" s="870"/>
      <c r="V155" s="870"/>
      <c r="W155" s="870"/>
      <c r="X155" s="870"/>
      <c r="Y155" s="870"/>
      <c r="Z155" s="870"/>
    </row>
    <row r="156" spans="1:26" ht="18">
      <c r="A156" s="487"/>
      <c r="B156" s="488"/>
      <c r="C156" s="489"/>
      <c r="D156" s="490"/>
      <c r="E156" s="489"/>
      <c r="F156" s="489"/>
      <c r="G156" s="489"/>
      <c r="H156" s="489"/>
      <c r="I156" s="489"/>
      <c r="J156" s="489"/>
      <c r="K156" s="491"/>
      <c r="L156" s="491"/>
      <c r="M156" s="491"/>
      <c r="N156" s="491"/>
      <c r="O156" s="491"/>
      <c r="P156" s="491"/>
      <c r="Q156" s="491"/>
      <c r="R156" s="491"/>
      <c r="S156" s="491"/>
      <c r="T156" s="491"/>
      <c r="U156" s="491"/>
      <c r="V156" s="491"/>
      <c r="W156" s="491"/>
      <c r="X156" s="491"/>
      <c r="Y156" s="491"/>
      <c r="Z156" s="492"/>
    </row>
    <row r="157" spans="1:26" ht="16">
      <c r="A157" s="493"/>
      <c r="B157" s="493"/>
      <c r="C157" s="489"/>
      <c r="D157" s="489"/>
      <c r="E157" s="489"/>
      <c r="F157" s="489"/>
      <c r="G157" s="489"/>
      <c r="H157" s="489"/>
      <c r="I157" s="489"/>
      <c r="J157" s="489"/>
      <c r="K157" s="491"/>
      <c r="L157" s="491"/>
      <c r="M157" s="491"/>
      <c r="N157" s="491"/>
      <c r="O157" s="491"/>
      <c r="P157" s="491"/>
      <c r="Q157" s="491"/>
      <c r="R157" s="491"/>
      <c r="S157" s="491"/>
      <c r="T157" s="491"/>
      <c r="U157" s="491"/>
      <c r="V157" s="491"/>
      <c r="W157" s="491"/>
      <c r="X157" s="491"/>
      <c r="Y157" s="493"/>
      <c r="Z157" s="494"/>
    </row>
    <row r="158" spans="1:26" ht="16">
      <c r="A158" s="495" t="s">
        <v>711</v>
      </c>
      <c r="B158" s="866" t="s">
        <v>712</v>
      </c>
      <c r="C158" s="866"/>
      <c r="D158" s="866"/>
      <c r="E158" s="866"/>
      <c r="F158" s="866"/>
      <c r="G158" s="866"/>
      <c r="H158" s="866"/>
      <c r="I158" s="866"/>
      <c r="J158" s="866"/>
      <c r="K158" s="866"/>
      <c r="L158" s="866"/>
      <c r="M158" s="866"/>
      <c r="N158" s="866"/>
      <c r="O158" s="866"/>
      <c r="P158" s="866"/>
      <c r="Q158" s="866"/>
      <c r="R158" s="866"/>
      <c r="S158" s="866"/>
      <c r="T158" s="866"/>
      <c r="U158" s="866"/>
      <c r="V158" s="866"/>
      <c r="W158" s="866"/>
      <c r="X158" s="866"/>
      <c r="Y158" s="866"/>
      <c r="Z158" s="496"/>
    </row>
    <row r="159" spans="1:26" ht="17">
      <c r="A159" s="497" t="s">
        <v>280</v>
      </c>
      <c r="B159" s="498" t="s">
        <v>713</v>
      </c>
      <c r="C159" s="498" t="s">
        <v>714</v>
      </c>
      <c r="D159" s="498" t="s">
        <v>715</v>
      </c>
      <c r="E159" s="498" t="s">
        <v>716</v>
      </c>
      <c r="F159" s="498" t="s">
        <v>717</v>
      </c>
      <c r="G159" s="498" t="s">
        <v>718</v>
      </c>
      <c r="H159" s="498" t="s">
        <v>719</v>
      </c>
      <c r="I159" s="498" t="s">
        <v>720</v>
      </c>
      <c r="J159" s="498" t="s">
        <v>721</v>
      </c>
      <c r="K159" s="498" t="s">
        <v>722</v>
      </c>
      <c r="L159" s="498" t="s">
        <v>723</v>
      </c>
      <c r="M159" s="498" t="s">
        <v>724</v>
      </c>
      <c r="N159" s="498" t="s">
        <v>725</v>
      </c>
      <c r="O159" s="498" t="s">
        <v>726</v>
      </c>
      <c r="P159" s="498" t="s">
        <v>727</v>
      </c>
      <c r="Q159" s="498" t="s">
        <v>728</v>
      </c>
      <c r="R159" s="498" t="s">
        <v>729</v>
      </c>
      <c r="S159" s="498" t="s">
        <v>730</v>
      </c>
      <c r="T159" s="498" t="s">
        <v>731</v>
      </c>
      <c r="U159" s="498" t="s">
        <v>732</v>
      </c>
      <c r="V159" s="498" t="s">
        <v>733</v>
      </c>
      <c r="W159" s="498" t="s">
        <v>734</v>
      </c>
      <c r="X159" s="498" t="s">
        <v>735</v>
      </c>
      <c r="Y159" s="498" t="s">
        <v>736</v>
      </c>
      <c r="Z159" s="499"/>
    </row>
    <row r="160" spans="1:26">
      <c r="A160" s="500">
        <v>45047</v>
      </c>
      <c r="B160" s="501">
        <v>2217.36</v>
      </c>
      <c r="C160" s="501">
        <v>2116.1</v>
      </c>
      <c r="D160" s="501">
        <v>2050.9699999999998</v>
      </c>
      <c r="E160" s="501">
        <v>1994.79</v>
      </c>
      <c r="F160" s="501">
        <v>1979.72</v>
      </c>
      <c r="G160" s="501">
        <v>2003.9</v>
      </c>
      <c r="H160" s="501">
        <v>2058.4699999999998</v>
      </c>
      <c r="I160" s="501">
        <v>2192.2600000000002</v>
      </c>
      <c r="J160" s="501">
        <v>2413.8000000000002</v>
      </c>
      <c r="K160" s="501">
        <v>2550.91</v>
      </c>
      <c r="L160" s="501">
        <v>2557.15</v>
      </c>
      <c r="M160" s="501">
        <v>2543.36</v>
      </c>
      <c r="N160" s="501">
        <v>2526.71</v>
      </c>
      <c r="O160" s="501">
        <v>2517.21</v>
      </c>
      <c r="P160" s="501">
        <v>2495.3000000000002</v>
      </c>
      <c r="Q160" s="501">
        <v>2475.9</v>
      </c>
      <c r="R160" s="501">
        <v>2473.56</v>
      </c>
      <c r="S160" s="501">
        <v>2487.2800000000002</v>
      </c>
      <c r="T160" s="501">
        <v>2552.11</v>
      </c>
      <c r="U160" s="501">
        <v>2613.29</v>
      </c>
      <c r="V160" s="501">
        <v>2643.88</v>
      </c>
      <c r="W160" s="501">
        <v>2584.8000000000002</v>
      </c>
      <c r="X160" s="501">
        <v>2488.58</v>
      </c>
      <c r="Y160" s="501">
        <v>2289.7399999999998</v>
      </c>
      <c r="Z160" s="502"/>
    </row>
    <row r="161" spans="1:26">
      <c r="A161" s="500">
        <v>45048</v>
      </c>
      <c r="B161" s="501">
        <v>2051.9699999999998</v>
      </c>
      <c r="C161" s="501">
        <v>1906.71</v>
      </c>
      <c r="D161" s="501">
        <v>1833.9</v>
      </c>
      <c r="E161" s="501">
        <v>1839.3</v>
      </c>
      <c r="F161" s="501">
        <v>1878.13</v>
      </c>
      <c r="G161" s="501">
        <v>2008.26</v>
      </c>
      <c r="H161" s="501">
        <v>2211.12</v>
      </c>
      <c r="I161" s="501">
        <v>2440.27</v>
      </c>
      <c r="J161" s="501">
        <v>2571.85</v>
      </c>
      <c r="K161" s="501">
        <v>2575.54</v>
      </c>
      <c r="L161" s="501">
        <v>2551.88</v>
      </c>
      <c r="M161" s="501">
        <v>2568.73</v>
      </c>
      <c r="N161" s="501">
        <v>2585.71</v>
      </c>
      <c r="O161" s="501">
        <v>2587.71</v>
      </c>
      <c r="P161" s="501">
        <v>2556.9899999999998</v>
      </c>
      <c r="Q161" s="501">
        <v>2519.85</v>
      </c>
      <c r="R161" s="501">
        <v>2498.83</v>
      </c>
      <c r="S161" s="501">
        <v>2490.29</v>
      </c>
      <c r="T161" s="501">
        <v>2487.41</v>
      </c>
      <c r="U161" s="501">
        <v>2493.7199999999998</v>
      </c>
      <c r="V161" s="501">
        <v>2509.4499999999998</v>
      </c>
      <c r="W161" s="501">
        <v>2485.67</v>
      </c>
      <c r="X161" s="501">
        <v>2316.11</v>
      </c>
      <c r="Y161" s="501">
        <v>2064.83</v>
      </c>
      <c r="Z161" s="502"/>
    </row>
    <row r="162" spans="1:26">
      <c r="A162" s="500">
        <v>45049</v>
      </c>
      <c r="B162" s="501">
        <v>1931.05</v>
      </c>
      <c r="C162" s="501">
        <v>1813.57</v>
      </c>
      <c r="D162" s="501">
        <v>1801.58</v>
      </c>
      <c r="E162" s="501">
        <v>1810.82</v>
      </c>
      <c r="F162" s="501">
        <v>1844.47</v>
      </c>
      <c r="G162" s="501">
        <v>1964.55</v>
      </c>
      <c r="H162" s="501">
        <v>2149.3200000000002</v>
      </c>
      <c r="I162" s="501">
        <v>2348.5</v>
      </c>
      <c r="J162" s="501">
        <v>2501.54</v>
      </c>
      <c r="K162" s="501">
        <v>2550.75</v>
      </c>
      <c r="L162" s="501">
        <v>2547.71</v>
      </c>
      <c r="M162" s="501">
        <v>2533.41</v>
      </c>
      <c r="N162" s="501">
        <v>2537.7600000000002</v>
      </c>
      <c r="O162" s="501">
        <v>2544.09</v>
      </c>
      <c r="P162" s="501">
        <v>2531</v>
      </c>
      <c r="Q162" s="501">
        <v>2528.62</v>
      </c>
      <c r="R162" s="501">
        <v>2539.4699999999998</v>
      </c>
      <c r="S162" s="501">
        <v>2532.06</v>
      </c>
      <c r="T162" s="501">
        <v>2512.3200000000002</v>
      </c>
      <c r="U162" s="501">
        <v>2529.7399999999998</v>
      </c>
      <c r="V162" s="501">
        <v>2526.48</v>
      </c>
      <c r="W162" s="501">
        <v>2492.5700000000002</v>
      </c>
      <c r="X162" s="501">
        <v>2286.9</v>
      </c>
      <c r="Y162" s="501">
        <v>2091.56</v>
      </c>
      <c r="Z162" s="502"/>
    </row>
    <row r="163" spans="1:26">
      <c r="A163" s="500">
        <v>45050</v>
      </c>
      <c r="B163" s="501">
        <v>1889.37</v>
      </c>
      <c r="C163" s="501">
        <v>1800.22</v>
      </c>
      <c r="D163" s="501">
        <v>1745.51</v>
      </c>
      <c r="E163" s="501">
        <v>1739.24</v>
      </c>
      <c r="F163" s="501">
        <v>1799.25</v>
      </c>
      <c r="G163" s="501">
        <v>1881.36</v>
      </c>
      <c r="H163" s="501">
        <v>2085.44</v>
      </c>
      <c r="I163" s="501">
        <v>2297.61</v>
      </c>
      <c r="J163" s="501">
        <v>2367.13</v>
      </c>
      <c r="K163" s="501">
        <v>2442.08</v>
      </c>
      <c r="L163" s="501">
        <v>2476.56</v>
      </c>
      <c r="M163" s="501">
        <v>2474.7399999999998</v>
      </c>
      <c r="N163" s="501">
        <v>2478.69</v>
      </c>
      <c r="O163" s="501">
        <v>2479.96</v>
      </c>
      <c r="P163" s="501">
        <v>2466.9299999999998</v>
      </c>
      <c r="Q163" s="501">
        <v>2442.83</v>
      </c>
      <c r="R163" s="501">
        <v>2420.1999999999998</v>
      </c>
      <c r="S163" s="501">
        <v>2391.85</v>
      </c>
      <c r="T163" s="501">
        <v>2356.17</v>
      </c>
      <c r="U163" s="501">
        <v>2422.84</v>
      </c>
      <c r="V163" s="501">
        <v>2467.73</v>
      </c>
      <c r="W163" s="501">
        <v>2464.3000000000002</v>
      </c>
      <c r="X163" s="501">
        <v>2314.12</v>
      </c>
      <c r="Y163" s="501">
        <v>2114.35</v>
      </c>
      <c r="Z163" s="502"/>
    </row>
    <row r="164" spans="1:26">
      <c r="A164" s="500">
        <v>45051</v>
      </c>
      <c r="B164" s="501">
        <v>2070.04</v>
      </c>
      <c r="C164" s="501">
        <v>1916.88</v>
      </c>
      <c r="D164" s="501">
        <v>1857.39</v>
      </c>
      <c r="E164" s="501">
        <v>1843.9</v>
      </c>
      <c r="F164" s="501">
        <v>1904.79</v>
      </c>
      <c r="G164" s="501">
        <v>2042.29</v>
      </c>
      <c r="H164" s="501">
        <v>2165.4</v>
      </c>
      <c r="I164" s="501">
        <v>2353.6</v>
      </c>
      <c r="J164" s="501">
        <v>2496.16</v>
      </c>
      <c r="K164" s="501">
        <v>2536.44</v>
      </c>
      <c r="L164" s="501">
        <v>2564.56</v>
      </c>
      <c r="M164" s="501">
        <v>2591.6799999999998</v>
      </c>
      <c r="N164" s="501">
        <v>2579.2399999999998</v>
      </c>
      <c r="O164" s="501">
        <v>2595.15</v>
      </c>
      <c r="P164" s="501">
        <v>2576.19</v>
      </c>
      <c r="Q164" s="501">
        <v>2549</v>
      </c>
      <c r="R164" s="501">
        <v>2530.37</v>
      </c>
      <c r="S164" s="501">
        <v>2514.5300000000002</v>
      </c>
      <c r="T164" s="501">
        <v>2500.62</v>
      </c>
      <c r="U164" s="501">
        <v>2496.88</v>
      </c>
      <c r="V164" s="501">
        <v>2504.3200000000002</v>
      </c>
      <c r="W164" s="501">
        <v>2500.66</v>
      </c>
      <c r="X164" s="501">
        <v>2386.08</v>
      </c>
      <c r="Y164" s="501">
        <v>2212.48</v>
      </c>
      <c r="Z164" s="502"/>
    </row>
    <row r="165" spans="1:26">
      <c r="A165" s="500">
        <v>45052</v>
      </c>
      <c r="B165" s="501">
        <v>2165.19</v>
      </c>
      <c r="C165" s="501">
        <v>2110.2199999999998</v>
      </c>
      <c r="D165" s="501">
        <v>2022.26</v>
      </c>
      <c r="E165" s="501">
        <v>1918.23</v>
      </c>
      <c r="F165" s="501">
        <v>1924.1</v>
      </c>
      <c r="G165" s="501">
        <v>2028.56</v>
      </c>
      <c r="H165" s="501">
        <v>2092.46</v>
      </c>
      <c r="I165" s="501">
        <v>2188.2399999999998</v>
      </c>
      <c r="J165" s="501">
        <v>2445.0300000000002</v>
      </c>
      <c r="K165" s="501">
        <v>2543.17</v>
      </c>
      <c r="L165" s="501">
        <v>2584.13</v>
      </c>
      <c r="M165" s="501">
        <v>2560.0100000000002</v>
      </c>
      <c r="N165" s="501">
        <v>2526.9899999999998</v>
      </c>
      <c r="O165" s="501">
        <v>2520.25</v>
      </c>
      <c r="P165" s="501">
        <v>2511.2399999999998</v>
      </c>
      <c r="Q165" s="501">
        <v>2508.7199999999998</v>
      </c>
      <c r="R165" s="501">
        <v>2495.54</v>
      </c>
      <c r="S165" s="501">
        <v>2475.13</v>
      </c>
      <c r="T165" s="501">
        <v>2473.9699999999998</v>
      </c>
      <c r="U165" s="501">
        <v>2524.7399999999998</v>
      </c>
      <c r="V165" s="501">
        <v>2547.09</v>
      </c>
      <c r="W165" s="501">
        <v>2503.7600000000002</v>
      </c>
      <c r="X165" s="501">
        <v>2444.29</v>
      </c>
      <c r="Y165" s="501">
        <v>2237.34</v>
      </c>
      <c r="Z165" s="502"/>
    </row>
    <row r="166" spans="1:26">
      <c r="A166" s="500">
        <v>45053</v>
      </c>
      <c r="B166" s="501">
        <v>2133.81</v>
      </c>
      <c r="C166" s="501">
        <v>2013.53</v>
      </c>
      <c r="D166" s="501">
        <v>1908.35</v>
      </c>
      <c r="E166" s="501">
        <v>1863.25</v>
      </c>
      <c r="F166" s="501">
        <v>1851.14</v>
      </c>
      <c r="G166" s="501">
        <v>1827.05</v>
      </c>
      <c r="H166" s="501">
        <v>1953.02</v>
      </c>
      <c r="I166" s="501">
        <v>2042.23</v>
      </c>
      <c r="J166" s="501">
        <v>2175.75</v>
      </c>
      <c r="K166" s="501">
        <v>2282.9699999999998</v>
      </c>
      <c r="L166" s="501">
        <v>2300.56</v>
      </c>
      <c r="M166" s="501">
        <v>2301.75</v>
      </c>
      <c r="N166" s="501">
        <v>2296.58</v>
      </c>
      <c r="O166" s="501">
        <v>2288.73</v>
      </c>
      <c r="P166" s="501">
        <v>2282.42</v>
      </c>
      <c r="Q166" s="501">
        <v>2282.36</v>
      </c>
      <c r="R166" s="501">
        <v>2284.7399999999998</v>
      </c>
      <c r="S166" s="501">
        <v>2286.9499999999998</v>
      </c>
      <c r="T166" s="501">
        <v>2315.56</v>
      </c>
      <c r="U166" s="501">
        <v>2375.12</v>
      </c>
      <c r="V166" s="501">
        <v>2460.46</v>
      </c>
      <c r="W166" s="501">
        <v>2384.0700000000002</v>
      </c>
      <c r="X166" s="501">
        <v>2325.9699999999998</v>
      </c>
      <c r="Y166" s="501">
        <v>2143.7399999999998</v>
      </c>
      <c r="Z166" s="502"/>
    </row>
    <row r="167" spans="1:26">
      <c r="A167" s="500">
        <v>45054</v>
      </c>
      <c r="B167" s="501">
        <v>2127.4499999999998</v>
      </c>
      <c r="C167" s="501">
        <v>2041.74</v>
      </c>
      <c r="D167" s="501">
        <v>1938.8</v>
      </c>
      <c r="E167" s="501">
        <v>1783.89</v>
      </c>
      <c r="F167" s="501">
        <v>1774.03</v>
      </c>
      <c r="G167" s="501">
        <v>1794.75</v>
      </c>
      <c r="H167" s="501">
        <v>1995.14</v>
      </c>
      <c r="I167" s="501">
        <v>2105.38</v>
      </c>
      <c r="J167" s="501">
        <v>2283.39</v>
      </c>
      <c r="K167" s="501">
        <v>2437.44</v>
      </c>
      <c r="L167" s="501">
        <v>2461.64</v>
      </c>
      <c r="M167" s="501">
        <v>2461.2399999999998</v>
      </c>
      <c r="N167" s="501">
        <v>2450.96</v>
      </c>
      <c r="O167" s="501">
        <v>2446.3000000000002</v>
      </c>
      <c r="P167" s="501">
        <v>2442.7800000000002</v>
      </c>
      <c r="Q167" s="501">
        <v>2438.65</v>
      </c>
      <c r="R167" s="501">
        <v>2429.4</v>
      </c>
      <c r="S167" s="501">
        <v>2396.48</v>
      </c>
      <c r="T167" s="501">
        <v>2414.4</v>
      </c>
      <c r="U167" s="501">
        <v>2456</v>
      </c>
      <c r="V167" s="501">
        <v>2470.4899999999998</v>
      </c>
      <c r="W167" s="501">
        <v>2416.85</v>
      </c>
      <c r="X167" s="501">
        <v>2364.4699999999998</v>
      </c>
      <c r="Y167" s="501">
        <v>2210.87</v>
      </c>
      <c r="Z167" s="502"/>
    </row>
    <row r="168" spans="1:26">
      <c r="A168" s="500">
        <v>45055</v>
      </c>
      <c r="B168" s="501">
        <v>2163.29</v>
      </c>
      <c r="C168" s="501">
        <v>2075.65</v>
      </c>
      <c r="D168" s="501">
        <v>2026.43</v>
      </c>
      <c r="E168" s="501">
        <v>1991.68</v>
      </c>
      <c r="F168" s="501">
        <v>1968.04</v>
      </c>
      <c r="G168" s="501">
        <v>1971.58</v>
      </c>
      <c r="H168" s="501">
        <v>2014.82</v>
      </c>
      <c r="I168" s="501">
        <v>2107.88</v>
      </c>
      <c r="J168" s="501">
        <v>2322.59</v>
      </c>
      <c r="K168" s="501">
        <v>2404.9299999999998</v>
      </c>
      <c r="L168" s="501">
        <v>2451.0500000000002</v>
      </c>
      <c r="M168" s="501">
        <v>2431.59</v>
      </c>
      <c r="N168" s="501">
        <v>2424.83</v>
      </c>
      <c r="O168" s="501">
        <v>2421.4899999999998</v>
      </c>
      <c r="P168" s="501">
        <v>2417.2600000000002</v>
      </c>
      <c r="Q168" s="501">
        <v>2408.73</v>
      </c>
      <c r="R168" s="501">
        <v>2381.1</v>
      </c>
      <c r="S168" s="501">
        <v>2380.6</v>
      </c>
      <c r="T168" s="501">
        <v>2396.6999999999998</v>
      </c>
      <c r="U168" s="501">
        <v>2439.83</v>
      </c>
      <c r="V168" s="501">
        <v>2496.44</v>
      </c>
      <c r="W168" s="501">
        <v>2480.39</v>
      </c>
      <c r="X168" s="501">
        <v>2438.19</v>
      </c>
      <c r="Y168" s="501">
        <v>2263.66</v>
      </c>
      <c r="Z168" s="502"/>
    </row>
    <row r="169" spans="1:26">
      <c r="A169" s="500">
        <v>45056</v>
      </c>
      <c r="B169" s="501">
        <v>2240.15</v>
      </c>
      <c r="C169" s="501">
        <v>2092.2600000000002</v>
      </c>
      <c r="D169" s="501">
        <v>2028.26</v>
      </c>
      <c r="E169" s="501">
        <v>1993.83</v>
      </c>
      <c r="F169" s="501">
        <v>2026.84</v>
      </c>
      <c r="G169" s="501">
        <v>2105.4499999999998</v>
      </c>
      <c r="H169" s="501">
        <v>2290.59</v>
      </c>
      <c r="I169" s="501">
        <v>2524.6799999999998</v>
      </c>
      <c r="J169" s="501">
        <v>2575.39</v>
      </c>
      <c r="K169" s="501">
        <v>2578.69</v>
      </c>
      <c r="L169" s="501">
        <v>2569.7399999999998</v>
      </c>
      <c r="M169" s="501">
        <v>2603.84</v>
      </c>
      <c r="N169" s="501">
        <v>2610.98</v>
      </c>
      <c r="O169" s="501">
        <v>2617.84</v>
      </c>
      <c r="P169" s="501">
        <v>2602.4899999999998</v>
      </c>
      <c r="Q169" s="501">
        <v>2591.9899999999998</v>
      </c>
      <c r="R169" s="501">
        <v>2571.25</v>
      </c>
      <c r="S169" s="501">
        <v>2551.1799999999998</v>
      </c>
      <c r="T169" s="501">
        <v>2544.4299999999998</v>
      </c>
      <c r="U169" s="501">
        <v>2530.69</v>
      </c>
      <c r="V169" s="501">
        <v>2541.96</v>
      </c>
      <c r="W169" s="501">
        <v>2546.8000000000002</v>
      </c>
      <c r="X169" s="501">
        <v>2365.65</v>
      </c>
      <c r="Y169" s="501">
        <v>2259.85</v>
      </c>
      <c r="Z169" s="502"/>
    </row>
    <row r="170" spans="1:26">
      <c r="A170" s="500">
        <v>45057</v>
      </c>
      <c r="B170" s="501">
        <v>1945.15</v>
      </c>
      <c r="C170" s="501">
        <v>1827.32</v>
      </c>
      <c r="D170" s="501">
        <v>1790.98</v>
      </c>
      <c r="E170" s="501">
        <v>1758.12</v>
      </c>
      <c r="F170" s="501">
        <v>1788.87</v>
      </c>
      <c r="G170" s="501">
        <v>1891.06</v>
      </c>
      <c r="H170" s="501">
        <v>2450.15</v>
      </c>
      <c r="I170" s="501">
        <v>2465.3000000000002</v>
      </c>
      <c r="J170" s="501">
        <v>2557.94</v>
      </c>
      <c r="K170" s="501">
        <v>2560.87</v>
      </c>
      <c r="L170" s="501">
        <v>2515.2199999999998</v>
      </c>
      <c r="M170" s="501">
        <v>2560.34</v>
      </c>
      <c r="N170" s="501">
        <v>2569.38</v>
      </c>
      <c r="O170" s="501">
        <v>2557.25</v>
      </c>
      <c r="P170" s="501">
        <v>2530.89</v>
      </c>
      <c r="Q170" s="501">
        <v>2457</v>
      </c>
      <c r="R170" s="501">
        <v>2405.1</v>
      </c>
      <c r="S170" s="501">
        <v>2388.89</v>
      </c>
      <c r="T170" s="501">
        <v>2372.0100000000002</v>
      </c>
      <c r="U170" s="501">
        <v>2383.86</v>
      </c>
      <c r="V170" s="501">
        <v>2413.4499999999998</v>
      </c>
      <c r="W170" s="501">
        <v>2413.9</v>
      </c>
      <c r="X170" s="501">
        <v>2283.2199999999998</v>
      </c>
      <c r="Y170" s="501">
        <v>2040.24</v>
      </c>
      <c r="Z170" s="502"/>
    </row>
    <row r="171" spans="1:26">
      <c r="A171" s="500">
        <v>45058</v>
      </c>
      <c r="B171" s="501">
        <v>1929</v>
      </c>
      <c r="C171" s="501">
        <v>1813.05</v>
      </c>
      <c r="D171" s="501">
        <v>1758.04</v>
      </c>
      <c r="E171" s="501">
        <v>1720.41</v>
      </c>
      <c r="F171" s="501">
        <v>1808.83</v>
      </c>
      <c r="G171" s="501">
        <v>2185.91</v>
      </c>
      <c r="H171" s="501">
        <v>2621.29</v>
      </c>
      <c r="I171" s="501">
        <v>2660.51</v>
      </c>
      <c r="J171" s="501">
        <v>2680.22</v>
      </c>
      <c r="K171" s="501">
        <v>2683.62</v>
      </c>
      <c r="L171" s="501">
        <v>2679</v>
      </c>
      <c r="M171" s="501">
        <v>2669.11</v>
      </c>
      <c r="N171" s="501">
        <v>2674.06</v>
      </c>
      <c r="O171" s="501">
        <v>2671.31</v>
      </c>
      <c r="P171" s="501">
        <v>2756.23</v>
      </c>
      <c r="Q171" s="501">
        <v>2759.5</v>
      </c>
      <c r="R171" s="501">
        <v>2575.1799999999998</v>
      </c>
      <c r="S171" s="501">
        <v>2572.4699999999998</v>
      </c>
      <c r="T171" s="501">
        <v>2559.36</v>
      </c>
      <c r="U171" s="501">
        <v>2558.5700000000002</v>
      </c>
      <c r="V171" s="501">
        <v>2569.5700000000002</v>
      </c>
      <c r="W171" s="501">
        <v>2532.59</v>
      </c>
      <c r="X171" s="501">
        <v>2375.06</v>
      </c>
      <c r="Y171" s="501">
        <v>2271.23</v>
      </c>
      <c r="Z171" s="502"/>
    </row>
    <row r="172" spans="1:26">
      <c r="A172" s="500">
        <v>45059</v>
      </c>
      <c r="B172" s="501">
        <v>2216.27</v>
      </c>
      <c r="C172" s="501">
        <v>1991.41</v>
      </c>
      <c r="D172" s="501">
        <v>1862.4</v>
      </c>
      <c r="E172" s="501">
        <v>1836.58</v>
      </c>
      <c r="F172" s="501">
        <v>1835.91</v>
      </c>
      <c r="G172" s="501">
        <v>1863.65</v>
      </c>
      <c r="H172" s="501">
        <v>2031.33</v>
      </c>
      <c r="I172" s="501">
        <v>2197.31</v>
      </c>
      <c r="J172" s="501">
        <v>2367.92</v>
      </c>
      <c r="K172" s="501">
        <v>2566.9299999999998</v>
      </c>
      <c r="L172" s="501">
        <v>2575.2399999999998</v>
      </c>
      <c r="M172" s="501">
        <v>2575.41</v>
      </c>
      <c r="N172" s="501">
        <v>2566.6999999999998</v>
      </c>
      <c r="O172" s="501">
        <v>2556.8200000000002</v>
      </c>
      <c r="P172" s="501">
        <v>2553.7800000000002</v>
      </c>
      <c r="Q172" s="501">
        <v>2538.2600000000002</v>
      </c>
      <c r="R172" s="501">
        <v>2495.94</v>
      </c>
      <c r="S172" s="501">
        <v>2449.85</v>
      </c>
      <c r="T172" s="501">
        <v>2446.1</v>
      </c>
      <c r="U172" s="501">
        <v>2487.21</v>
      </c>
      <c r="V172" s="501">
        <v>2506.02</v>
      </c>
      <c r="W172" s="501">
        <v>2465.6</v>
      </c>
      <c r="X172" s="501">
        <v>2401.71</v>
      </c>
      <c r="Y172" s="501">
        <v>2243.79</v>
      </c>
      <c r="Z172" s="502"/>
    </row>
    <row r="173" spans="1:26">
      <c r="A173" s="500">
        <v>45060</v>
      </c>
      <c r="B173" s="501">
        <v>2068.11</v>
      </c>
      <c r="C173" s="501">
        <v>1891.82</v>
      </c>
      <c r="D173" s="501">
        <v>1820.36</v>
      </c>
      <c r="E173" s="501">
        <v>1804.66</v>
      </c>
      <c r="F173" s="501">
        <v>1796.67</v>
      </c>
      <c r="G173" s="501">
        <v>1734.37</v>
      </c>
      <c r="H173" s="501">
        <v>1732.45</v>
      </c>
      <c r="I173" s="501">
        <v>1933.9</v>
      </c>
      <c r="J173" s="501">
        <v>2179.9</v>
      </c>
      <c r="K173" s="501">
        <v>2299.0300000000002</v>
      </c>
      <c r="L173" s="501">
        <v>2326.64</v>
      </c>
      <c r="M173" s="501">
        <v>2330.0700000000002</v>
      </c>
      <c r="N173" s="501">
        <v>2325.65</v>
      </c>
      <c r="O173" s="501">
        <v>2322.4699999999998</v>
      </c>
      <c r="P173" s="501">
        <v>2318.39</v>
      </c>
      <c r="Q173" s="501">
        <v>2322.8000000000002</v>
      </c>
      <c r="R173" s="501">
        <v>2323.64</v>
      </c>
      <c r="S173" s="501">
        <v>2301.52</v>
      </c>
      <c r="T173" s="501">
        <v>2331.5700000000002</v>
      </c>
      <c r="U173" s="501">
        <v>2401.9</v>
      </c>
      <c r="V173" s="501">
        <v>2444.09</v>
      </c>
      <c r="W173" s="501">
        <v>2402.35</v>
      </c>
      <c r="X173" s="501">
        <v>2337.88</v>
      </c>
      <c r="Y173" s="501">
        <v>2200.66</v>
      </c>
      <c r="Z173" s="502"/>
    </row>
    <row r="174" spans="1:26">
      <c r="A174" s="500">
        <v>45061</v>
      </c>
      <c r="B174" s="501">
        <v>2032.13</v>
      </c>
      <c r="C174" s="501">
        <v>1863.65</v>
      </c>
      <c r="D174" s="501">
        <v>1812.6</v>
      </c>
      <c r="E174" s="501">
        <v>1793.43</v>
      </c>
      <c r="F174" s="501">
        <v>1838.68</v>
      </c>
      <c r="G174" s="501">
        <v>1933.01</v>
      </c>
      <c r="H174" s="501">
        <v>2174.27</v>
      </c>
      <c r="I174" s="501">
        <v>2371.4899999999998</v>
      </c>
      <c r="J174" s="501">
        <v>2614.19</v>
      </c>
      <c r="K174" s="501">
        <v>2647.24</v>
      </c>
      <c r="L174" s="501">
        <v>2627.21</v>
      </c>
      <c r="M174" s="501">
        <v>2638.39</v>
      </c>
      <c r="N174" s="501">
        <v>2637.8</v>
      </c>
      <c r="O174" s="501">
        <v>2658.34</v>
      </c>
      <c r="P174" s="501">
        <v>2614.5</v>
      </c>
      <c r="Q174" s="501">
        <v>2588.48</v>
      </c>
      <c r="R174" s="501">
        <v>2569.86</v>
      </c>
      <c r="S174" s="501">
        <v>2542.14</v>
      </c>
      <c r="T174" s="501">
        <v>2514.71</v>
      </c>
      <c r="U174" s="501">
        <v>2510.63</v>
      </c>
      <c r="V174" s="501">
        <v>2538.25</v>
      </c>
      <c r="W174" s="501">
        <v>2548.9499999999998</v>
      </c>
      <c r="X174" s="501">
        <v>2351.4499999999998</v>
      </c>
      <c r="Y174" s="501">
        <v>2221.65</v>
      </c>
      <c r="Z174" s="502"/>
    </row>
    <row r="175" spans="1:26">
      <c r="A175" s="500">
        <v>45062</v>
      </c>
      <c r="B175" s="501">
        <v>1979.04</v>
      </c>
      <c r="C175" s="501">
        <v>1903.94</v>
      </c>
      <c r="D175" s="501">
        <v>1832.34</v>
      </c>
      <c r="E175" s="501">
        <v>1821.74</v>
      </c>
      <c r="F175" s="501">
        <v>1859.25</v>
      </c>
      <c r="G175" s="501">
        <v>2018.7</v>
      </c>
      <c r="H175" s="501">
        <v>2208.13</v>
      </c>
      <c r="I175" s="501">
        <v>2365.56</v>
      </c>
      <c r="J175" s="501">
        <v>2578.5</v>
      </c>
      <c r="K175" s="501">
        <v>2602.04</v>
      </c>
      <c r="L175" s="501">
        <v>2584.41</v>
      </c>
      <c r="M175" s="501">
        <v>2580.13</v>
      </c>
      <c r="N175" s="501">
        <v>2571.0500000000002</v>
      </c>
      <c r="O175" s="501">
        <v>2599.61</v>
      </c>
      <c r="P175" s="501">
        <v>2572.06</v>
      </c>
      <c r="Q175" s="501">
        <v>2486.29</v>
      </c>
      <c r="R175" s="501">
        <v>2430.1999999999998</v>
      </c>
      <c r="S175" s="501">
        <v>2411.0500000000002</v>
      </c>
      <c r="T175" s="501">
        <v>2387.75</v>
      </c>
      <c r="U175" s="501">
        <v>2401.4299999999998</v>
      </c>
      <c r="V175" s="501">
        <v>2464.54</v>
      </c>
      <c r="W175" s="501">
        <v>2520.9699999999998</v>
      </c>
      <c r="X175" s="501">
        <v>2318.67</v>
      </c>
      <c r="Y175" s="501">
        <v>2135.2399999999998</v>
      </c>
      <c r="Z175" s="502"/>
    </row>
    <row r="176" spans="1:26">
      <c r="A176" s="500">
        <v>45063</v>
      </c>
      <c r="B176" s="501">
        <v>1902.05</v>
      </c>
      <c r="C176" s="501">
        <v>1820.29</v>
      </c>
      <c r="D176" s="501">
        <v>1761.23</v>
      </c>
      <c r="E176" s="501">
        <v>1719.51</v>
      </c>
      <c r="F176" s="501">
        <v>1762.96</v>
      </c>
      <c r="G176" s="501">
        <v>1890.53</v>
      </c>
      <c r="H176" s="501">
        <v>2159.37</v>
      </c>
      <c r="I176" s="501">
        <v>2334.1999999999998</v>
      </c>
      <c r="J176" s="501">
        <v>2525.86</v>
      </c>
      <c r="K176" s="501">
        <v>2588.6</v>
      </c>
      <c r="L176" s="501">
        <v>2550.35</v>
      </c>
      <c r="M176" s="501">
        <v>2585.63</v>
      </c>
      <c r="N176" s="501">
        <v>2574.4499999999998</v>
      </c>
      <c r="O176" s="501">
        <v>2587.12</v>
      </c>
      <c r="P176" s="501">
        <v>2531.81</v>
      </c>
      <c r="Q176" s="501">
        <v>2468.3000000000002</v>
      </c>
      <c r="R176" s="501">
        <v>2407.1799999999998</v>
      </c>
      <c r="S176" s="501">
        <v>2381.0300000000002</v>
      </c>
      <c r="T176" s="501">
        <v>2367.4299999999998</v>
      </c>
      <c r="U176" s="501">
        <v>2382.69</v>
      </c>
      <c r="V176" s="501">
        <v>2419.5</v>
      </c>
      <c r="W176" s="501">
        <v>2487.0300000000002</v>
      </c>
      <c r="X176" s="501">
        <v>2328.63</v>
      </c>
      <c r="Y176" s="501">
        <v>2084.13</v>
      </c>
      <c r="Z176" s="502"/>
    </row>
    <row r="177" spans="1:26">
      <c r="A177" s="500">
        <v>45064</v>
      </c>
      <c r="B177" s="501">
        <v>1950.18</v>
      </c>
      <c r="C177" s="501">
        <v>1869.19</v>
      </c>
      <c r="D177" s="501">
        <v>1772.57</v>
      </c>
      <c r="E177" s="501">
        <v>1756.12</v>
      </c>
      <c r="F177" s="501">
        <v>1833.08</v>
      </c>
      <c r="G177" s="501">
        <v>1939.26</v>
      </c>
      <c r="H177" s="501">
        <v>2135.19</v>
      </c>
      <c r="I177" s="501">
        <v>2334.11</v>
      </c>
      <c r="J177" s="501">
        <v>2524.3000000000002</v>
      </c>
      <c r="K177" s="501">
        <v>2563.8000000000002</v>
      </c>
      <c r="L177" s="501">
        <v>2541.46</v>
      </c>
      <c r="M177" s="501">
        <v>2548.65</v>
      </c>
      <c r="N177" s="501">
        <v>2544.86</v>
      </c>
      <c r="O177" s="501">
        <v>2559.96</v>
      </c>
      <c r="P177" s="501">
        <v>2547.0300000000002</v>
      </c>
      <c r="Q177" s="501">
        <v>2532.5100000000002</v>
      </c>
      <c r="R177" s="501">
        <v>2537.3200000000002</v>
      </c>
      <c r="S177" s="501">
        <v>2535.6799999999998</v>
      </c>
      <c r="T177" s="501">
        <v>2524.2800000000002</v>
      </c>
      <c r="U177" s="501">
        <v>2547.0700000000002</v>
      </c>
      <c r="V177" s="501">
        <v>2552.8200000000002</v>
      </c>
      <c r="W177" s="501">
        <v>2559.9</v>
      </c>
      <c r="X177" s="501">
        <v>2365.27</v>
      </c>
      <c r="Y177" s="501">
        <v>2203.9899999999998</v>
      </c>
      <c r="Z177" s="502"/>
    </row>
    <row r="178" spans="1:26">
      <c r="A178" s="500">
        <v>45065</v>
      </c>
      <c r="B178" s="501">
        <v>1945.52</v>
      </c>
      <c r="C178" s="501">
        <v>1810.64</v>
      </c>
      <c r="D178" s="501">
        <v>1730.04</v>
      </c>
      <c r="E178" s="501">
        <v>1696.4</v>
      </c>
      <c r="F178" s="501">
        <v>1726.5</v>
      </c>
      <c r="G178" s="501">
        <v>1996.47</v>
      </c>
      <c r="H178" s="501">
        <v>2176.6799999999998</v>
      </c>
      <c r="I178" s="501">
        <v>2435.3200000000002</v>
      </c>
      <c r="J178" s="501">
        <v>2623.38</v>
      </c>
      <c r="K178" s="501">
        <v>2673.47</v>
      </c>
      <c r="L178" s="501">
        <v>2660.99</v>
      </c>
      <c r="M178" s="501">
        <v>2676.15</v>
      </c>
      <c r="N178" s="501">
        <v>2676.59</v>
      </c>
      <c r="O178" s="501">
        <v>2679.1</v>
      </c>
      <c r="P178" s="501">
        <v>2665.43</v>
      </c>
      <c r="Q178" s="501">
        <v>2651.15</v>
      </c>
      <c r="R178" s="501">
        <v>2622.96</v>
      </c>
      <c r="S178" s="501">
        <v>2605.9299999999998</v>
      </c>
      <c r="T178" s="501">
        <v>2584.15</v>
      </c>
      <c r="U178" s="501">
        <v>2585.8000000000002</v>
      </c>
      <c r="V178" s="501">
        <v>2598.87</v>
      </c>
      <c r="W178" s="501">
        <v>2597.87</v>
      </c>
      <c r="X178" s="501">
        <v>2433.96</v>
      </c>
      <c r="Y178" s="501">
        <v>2230.65</v>
      </c>
      <c r="Z178" s="502"/>
    </row>
    <row r="179" spans="1:26">
      <c r="A179" s="500">
        <v>45066</v>
      </c>
      <c r="B179" s="501">
        <v>2226.15</v>
      </c>
      <c r="C179" s="501">
        <v>2111.29</v>
      </c>
      <c r="D179" s="501">
        <v>2039.34</v>
      </c>
      <c r="E179" s="501">
        <v>1938.71</v>
      </c>
      <c r="F179" s="501">
        <v>1936</v>
      </c>
      <c r="G179" s="501">
        <v>1997.33</v>
      </c>
      <c r="H179" s="501">
        <v>2103.91</v>
      </c>
      <c r="I179" s="501">
        <v>2283.31</v>
      </c>
      <c r="J179" s="501">
        <v>2484.42</v>
      </c>
      <c r="K179" s="501">
        <v>2616.39</v>
      </c>
      <c r="L179" s="501">
        <v>2654.37</v>
      </c>
      <c r="M179" s="501">
        <v>2636.85</v>
      </c>
      <c r="N179" s="501">
        <v>2562.85</v>
      </c>
      <c r="O179" s="501">
        <v>2538.0100000000002</v>
      </c>
      <c r="P179" s="501">
        <v>2525.65</v>
      </c>
      <c r="Q179" s="501">
        <v>2492.9899999999998</v>
      </c>
      <c r="R179" s="501">
        <v>2478.85</v>
      </c>
      <c r="S179" s="501">
        <v>2450.7800000000002</v>
      </c>
      <c r="T179" s="501">
        <v>2455.08</v>
      </c>
      <c r="U179" s="501">
        <v>2490.42</v>
      </c>
      <c r="V179" s="501">
        <v>2525.83</v>
      </c>
      <c r="W179" s="501">
        <v>2493.94</v>
      </c>
      <c r="X179" s="501">
        <v>2350.81</v>
      </c>
      <c r="Y179" s="501">
        <v>2188.56</v>
      </c>
      <c r="Z179" s="502"/>
    </row>
    <row r="180" spans="1:26">
      <c r="A180" s="500">
        <v>45067</v>
      </c>
      <c r="B180" s="501">
        <v>2164.7800000000002</v>
      </c>
      <c r="C180" s="501">
        <v>2036.15</v>
      </c>
      <c r="D180" s="501">
        <v>1925.63</v>
      </c>
      <c r="E180" s="501">
        <v>1851.53</v>
      </c>
      <c r="F180" s="501">
        <v>1847.93</v>
      </c>
      <c r="G180" s="501">
        <v>1819.79</v>
      </c>
      <c r="H180" s="501">
        <v>1903.18</v>
      </c>
      <c r="I180" s="501">
        <v>2129.0300000000002</v>
      </c>
      <c r="J180" s="501">
        <v>2296.89</v>
      </c>
      <c r="K180" s="501">
        <v>2413.2600000000002</v>
      </c>
      <c r="L180" s="501">
        <v>2448.48</v>
      </c>
      <c r="M180" s="501">
        <v>2456.85</v>
      </c>
      <c r="N180" s="501">
        <v>2451.61</v>
      </c>
      <c r="O180" s="501">
        <v>2443.79</v>
      </c>
      <c r="P180" s="501">
        <v>2446.7399999999998</v>
      </c>
      <c r="Q180" s="501">
        <v>2448.83</v>
      </c>
      <c r="R180" s="501">
        <v>2444.0100000000002</v>
      </c>
      <c r="S180" s="501">
        <v>2437.88</v>
      </c>
      <c r="T180" s="501">
        <v>2499.67</v>
      </c>
      <c r="U180" s="501">
        <v>2585.29</v>
      </c>
      <c r="V180" s="501">
        <v>2615.4</v>
      </c>
      <c r="W180" s="501">
        <v>2552.0500000000002</v>
      </c>
      <c r="X180" s="501">
        <v>2403.33</v>
      </c>
      <c r="Y180" s="501">
        <v>2232.69</v>
      </c>
      <c r="Z180" s="502"/>
    </row>
    <row r="181" spans="1:26">
      <c r="A181" s="500">
        <v>45068</v>
      </c>
      <c r="B181" s="501">
        <v>2045.92</v>
      </c>
      <c r="C181" s="501">
        <v>1907.99</v>
      </c>
      <c r="D181" s="501">
        <v>1847.12</v>
      </c>
      <c r="E181" s="501">
        <v>1842.72</v>
      </c>
      <c r="F181" s="501">
        <v>1845.51</v>
      </c>
      <c r="G181" s="501">
        <v>1908.71</v>
      </c>
      <c r="H181" s="501">
        <v>2162.4299999999998</v>
      </c>
      <c r="I181" s="501">
        <v>2407.98</v>
      </c>
      <c r="J181" s="501">
        <v>2634.54</v>
      </c>
      <c r="K181" s="501">
        <v>2680.18</v>
      </c>
      <c r="L181" s="501">
        <v>2661.94</v>
      </c>
      <c r="M181" s="501">
        <v>2660.81</v>
      </c>
      <c r="N181" s="501">
        <v>2616.48</v>
      </c>
      <c r="O181" s="501">
        <v>2645.42</v>
      </c>
      <c r="P181" s="501">
        <v>2625.72</v>
      </c>
      <c r="Q181" s="501">
        <v>2597.2199999999998</v>
      </c>
      <c r="R181" s="501">
        <v>2577.84</v>
      </c>
      <c r="S181" s="501">
        <v>2585.6</v>
      </c>
      <c r="T181" s="501">
        <v>2568.34</v>
      </c>
      <c r="U181" s="501">
        <v>2542.48</v>
      </c>
      <c r="V181" s="501">
        <v>2572.4</v>
      </c>
      <c r="W181" s="501">
        <v>2599.21</v>
      </c>
      <c r="X181" s="501">
        <v>2339.89</v>
      </c>
      <c r="Y181" s="501">
        <v>2166.9</v>
      </c>
      <c r="Z181" s="502"/>
    </row>
    <row r="182" spans="1:26">
      <c r="A182" s="500">
        <v>45069</v>
      </c>
      <c r="B182" s="501">
        <v>2063.81</v>
      </c>
      <c r="C182" s="501">
        <v>1920.85</v>
      </c>
      <c r="D182" s="501">
        <v>1836.27</v>
      </c>
      <c r="E182" s="501">
        <v>1808.8</v>
      </c>
      <c r="F182" s="501">
        <v>1971.05</v>
      </c>
      <c r="G182" s="501">
        <v>2130.4299999999998</v>
      </c>
      <c r="H182" s="501">
        <v>2223.3000000000002</v>
      </c>
      <c r="I182" s="501">
        <v>2410.5300000000002</v>
      </c>
      <c r="J182" s="501">
        <v>2590.94</v>
      </c>
      <c r="K182" s="501">
        <v>2632.11</v>
      </c>
      <c r="L182" s="501">
        <v>2576</v>
      </c>
      <c r="M182" s="501">
        <v>2642.26</v>
      </c>
      <c r="N182" s="501">
        <v>2648.74</v>
      </c>
      <c r="O182" s="501">
        <v>2662.54</v>
      </c>
      <c r="P182" s="501">
        <v>2627.21</v>
      </c>
      <c r="Q182" s="501">
        <v>2604.86</v>
      </c>
      <c r="R182" s="501">
        <v>2587.9699999999998</v>
      </c>
      <c r="S182" s="501">
        <v>2558.52</v>
      </c>
      <c r="T182" s="501">
        <v>2529.92</v>
      </c>
      <c r="U182" s="501">
        <v>2517.9</v>
      </c>
      <c r="V182" s="501">
        <v>2520.91</v>
      </c>
      <c r="W182" s="501">
        <v>2517.92</v>
      </c>
      <c r="X182" s="501">
        <v>2352.1</v>
      </c>
      <c r="Y182" s="501">
        <v>2120.4699999999998</v>
      </c>
      <c r="Z182" s="502"/>
    </row>
    <row r="183" spans="1:26">
      <c r="A183" s="500">
        <v>45070</v>
      </c>
      <c r="B183" s="501">
        <v>2084.19</v>
      </c>
      <c r="C183" s="501">
        <v>1886.56</v>
      </c>
      <c r="D183" s="501">
        <v>1855.35</v>
      </c>
      <c r="E183" s="501">
        <v>1820.52</v>
      </c>
      <c r="F183" s="501">
        <v>1842.41</v>
      </c>
      <c r="G183" s="501">
        <v>2037.3</v>
      </c>
      <c r="H183" s="501">
        <v>2363.35</v>
      </c>
      <c r="I183" s="501">
        <v>2531.38</v>
      </c>
      <c r="J183" s="501">
        <v>2629.21</v>
      </c>
      <c r="K183" s="501">
        <v>2643.89</v>
      </c>
      <c r="L183" s="501">
        <v>2634.66</v>
      </c>
      <c r="M183" s="501">
        <v>2624.99</v>
      </c>
      <c r="N183" s="501">
        <v>2620.81</v>
      </c>
      <c r="O183" s="501">
        <v>2626.4</v>
      </c>
      <c r="P183" s="501">
        <v>2621.38</v>
      </c>
      <c r="Q183" s="501">
        <v>2628.27</v>
      </c>
      <c r="R183" s="501">
        <v>2614.8200000000002</v>
      </c>
      <c r="S183" s="501">
        <v>2607.73</v>
      </c>
      <c r="T183" s="501">
        <v>2605.21</v>
      </c>
      <c r="U183" s="501">
        <v>2607.71</v>
      </c>
      <c r="V183" s="501">
        <v>2609.9299999999998</v>
      </c>
      <c r="W183" s="501">
        <v>2600.4</v>
      </c>
      <c r="X183" s="501">
        <v>2497.09</v>
      </c>
      <c r="Y183" s="501">
        <v>2198.7199999999998</v>
      </c>
      <c r="Z183" s="502"/>
    </row>
    <row r="184" spans="1:26">
      <c r="A184" s="500">
        <v>45071</v>
      </c>
      <c r="B184" s="501">
        <v>1924.04</v>
      </c>
      <c r="C184" s="501">
        <v>1823.56</v>
      </c>
      <c r="D184" s="501">
        <v>1768.89</v>
      </c>
      <c r="E184" s="501">
        <v>1729.94</v>
      </c>
      <c r="F184" s="501">
        <v>1743.03</v>
      </c>
      <c r="G184" s="501">
        <v>1927.19</v>
      </c>
      <c r="H184" s="501">
        <v>2325.81</v>
      </c>
      <c r="I184" s="501">
        <v>2485.25</v>
      </c>
      <c r="J184" s="501">
        <v>2654.22</v>
      </c>
      <c r="K184" s="501">
        <v>2651.98</v>
      </c>
      <c r="L184" s="501">
        <v>2646.61</v>
      </c>
      <c r="M184" s="501">
        <v>2642.3</v>
      </c>
      <c r="N184" s="501">
        <v>2644.72</v>
      </c>
      <c r="O184" s="501">
        <v>2643.36</v>
      </c>
      <c r="P184" s="501">
        <v>2661.58</v>
      </c>
      <c r="Q184" s="501">
        <v>2659.26</v>
      </c>
      <c r="R184" s="501">
        <v>2638.09</v>
      </c>
      <c r="S184" s="501">
        <v>2634.62</v>
      </c>
      <c r="T184" s="501">
        <v>2632.1</v>
      </c>
      <c r="U184" s="501">
        <v>2636.29</v>
      </c>
      <c r="V184" s="501">
        <v>2639.91</v>
      </c>
      <c r="W184" s="501">
        <v>2624.75</v>
      </c>
      <c r="X184" s="501">
        <v>2522.0300000000002</v>
      </c>
      <c r="Y184" s="501">
        <v>2133.7399999999998</v>
      </c>
      <c r="Z184" s="502"/>
    </row>
    <row r="185" spans="1:26">
      <c r="A185" s="500">
        <v>45072</v>
      </c>
      <c r="B185" s="501">
        <v>2018.38</v>
      </c>
      <c r="C185" s="501">
        <v>1888.2</v>
      </c>
      <c r="D185" s="501">
        <v>1831.19</v>
      </c>
      <c r="E185" s="501">
        <v>1794.94</v>
      </c>
      <c r="F185" s="501">
        <v>1831.05</v>
      </c>
      <c r="G185" s="501">
        <v>1952.59</v>
      </c>
      <c r="H185" s="501">
        <v>2368.0300000000002</v>
      </c>
      <c r="I185" s="501">
        <v>2536.2199999999998</v>
      </c>
      <c r="J185" s="501">
        <v>2737.33</v>
      </c>
      <c r="K185" s="501">
        <v>2741.98</v>
      </c>
      <c r="L185" s="501">
        <v>2739.86</v>
      </c>
      <c r="M185" s="501">
        <v>2736</v>
      </c>
      <c r="N185" s="501">
        <v>2738.35</v>
      </c>
      <c r="O185" s="501">
        <v>2738.53</v>
      </c>
      <c r="P185" s="501">
        <v>2751.98</v>
      </c>
      <c r="Q185" s="501">
        <v>2746.56</v>
      </c>
      <c r="R185" s="501">
        <v>2723.36</v>
      </c>
      <c r="S185" s="501">
        <v>2718.31</v>
      </c>
      <c r="T185" s="501">
        <v>2714.18</v>
      </c>
      <c r="U185" s="501">
        <v>2711.71</v>
      </c>
      <c r="V185" s="501">
        <v>2718.81</v>
      </c>
      <c r="W185" s="501">
        <v>2706.64</v>
      </c>
      <c r="X185" s="501">
        <v>2644.03</v>
      </c>
      <c r="Y185" s="501">
        <v>2373.62</v>
      </c>
      <c r="Z185" s="502"/>
    </row>
    <row r="186" spans="1:26">
      <c r="A186" s="500">
        <v>45073</v>
      </c>
      <c r="B186" s="501">
        <v>2311.5700000000002</v>
      </c>
      <c r="C186" s="501">
        <v>2076.85</v>
      </c>
      <c r="D186" s="501">
        <v>1940.25</v>
      </c>
      <c r="E186" s="501">
        <v>1901.29</v>
      </c>
      <c r="F186" s="501">
        <v>1885.14</v>
      </c>
      <c r="G186" s="501">
        <v>1872.41</v>
      </c>
      <c r="H186" s="501">
        <v>2204.9699999999998</v>
      </c>
      <c r="I186" s="501">
        <v>2367.25</v>
      </c>
      <c r="J186" s="501">
        <v>2614.0100000000002</v>
      </c>
      <c r="K186" s="501">
        <v>2665.89</v>
      </c>
      <c r="L186" s="501">
        <v>2665.25</v>
      </c>
      <c r="M186" s="501">
        <v>2664.67</v>
      </c>
      <c r="N186" s="501">
        <v>2663.24</v>
      </c>
      <c r="O186" s="501">
        <v>2658.23</v>
      </c>
      <c r="P186" s="501">
        <v>2650.68</v>
      </c>
      <c r="Q186" s="501">
        <v>2647.84</v>
      </c>
      <c r="R186" s="501">
        <v>2648.9</v>
      </c>
      <c r="S186" s="501">
        <v>2624.52</v>
      </c>
      <c r="T186" s="501">
        <v>2621.48</v>
      </c>
      <c r="U186" s="501">
        <v>2626.39</v>
      </c>
      <c r="V186" s="501">
        <v>2658.21</v>
      </c>
      <c r="W186" s="501">
        <v>2649.53</v>
      </c>
      <c r="X186" s="501">
        <v>2586.6999999999998</v>
      </c>
      <c r="Y186" s="501">
        <v>2273.86</v>
      </c>
      <c r="Z186" s="502"/>
    </row>
    <row r="187" spans="1:26">
      <c r="A187" s="500">
        <v>45074</v>
      </c>
      <c r="B187" s="501">
        <v>2185.91</v>
      </c>
      <c r="C187" s="501">
        <v>2024.98</v>
      </c>
      <c r="D187" s="501">
        <v>1910.12</v>
      </c>
      <c r="E187" s="501">
        <v>1882.38</v>
      </c>
      <c r="F187" s="501">
        <v>1860.58</v>
      </c>
      <c r="G187" s="501">
        <v>1849.95</v>
      </c>
      <c r="H187" s="501">
        <v>2064.4299999999998</v>
      </c>
      <c r="I187" s="501">
        <v>2220.48</v>
      </c>
      <c r="J187" s="501">
        <v>2470.08</v>
      </c>
      <c r="K187" s="501">
        <v>2608.1999999999998</v>
      </c>
      <c r="L187" s="501">
        <v>2613.4499999999998</v>
      </c>
      <c r="M187" s="501">
        <v>2611.86</v>
      </c>
      <c r="N187" s="501">
        <v>2611.58</v>
      </c>
      <c r="O187" s="501">
        <v>2611.69</v>
      </c>
      <c r="P187" s="501">
        <v>2611.4</v>
      </c>
      <c r="Q187" s="501">
        <v>2612.4299999999998</v>
      </c>
      <c r="R187" s="501">
        <v>2618.87</v>
      </c>
      <c r="S187" s="501">
        <v>2621.44</v>
      </c>
      <c r="T187" s="501">
        <v>2619.5300000000002</v>
      </c>
      <c r="U187" s="501">
        <v>2616.41</v>
      </c>
      <c r="V187" s="501">
        <v>2628.35</v>
      </c>
      <c r="W187" s="501">
        <v>2618.87</v>
      </c>
      <c r="X187" s="501">
        <v>2541.08</v>
      </c>
      <c r="Y187" s="501">
        <v>2256.3200000000002</v>
      </c>
      <c r="Z187" s="502"/>
    </row>
    <row r="188" spans="1:26">
      <c r="A188" s="500">
        <v>45075</v>
      </c>
      <c r="B188" s="501">
        <v>2111.44</v>
      </c>
      <c r="C188" s="501">
        <v>1956.14</v>
      </c>
      <c r="D188" s="501">
        <v>1871.17</v>
      </c>
      <c r="E188" s="501">
        <v>1835.48</v>
      </c>
      <c r="F188" s="501">
        <v>1857.38</v>
      </c>
      <c r="G188" s="501">
        <v>1941.79</v>
      </c>
      <c r="H188" s="501">
        <v>2375.9499999999998</v>
      </c>
      <c r="I188" s="501">
        <v>2602.06</v>
      </c>
      <c r="J188" s="501">
        <v>2689.43</v>
      </c>
      <c r="K188" s="501">
        <v>2691.03</v>
      </c>
      <c r="L188" s="501">
        <v>2687.95</v>
      </c>
      <c r="M188" s="501">
        <v>2686.82</v>
      </c>
      <c r="N188" s="501">
        <v>2688.69</v>
      </c>
      <c r="O188" s="501">
        <v>2686.68</v>
      </c>
      <c r="P188" s="501">
        <v>2684.18</v>
      </c>
      <c r="Q188" s="501">
        <v>2678.34</v>
      </c>
      <c r="R188" s="501">
        <v>2673.57</v>
      </c>
      <c r="S188" s="501">
        <v>2672.23</v>
      </c>
      <c r="T188" s="501">
        <v>2667.56</v>
      </c>
      <c r="U188" s="501">
        <v>2668.62</v>
      </c>
      <c r="V188" s="501">
        <v>2669.18</v>
      </c>
      <c r="W188" s="501">
        <v>2660.54</v>
      </c>
      <c r="X188" s="501">
        <v>2614.2800000000002</v>
      </c>
      <c r="Y188" s="501">
        <v>2227.81</v>
      </c>
      <c r="Z188" s="502"/>
    </row>
    <row r="189" spans="1:26">
      <c r="A189" s="500">
        <v>45076</v>
      </c>
      <c r="B189" s="501">
        <v>2037.36</v>
      </c>
      <c r="C189" s="501">
        <v>1901.72</v>
      </c>
      <c r="D189" s="501">
        <v>1876.6</v>
      </c>
      <c r="E189" s="501">
        <v>1853.23</v>
      </c>
      <c r="F189" s="501">
        <v>1878.4</v>
      </c>
      <c r="G189" s="501">
        <v>2042.95</v>
      </c>
      <c r="H189" s="501">
        <v>2377.9299999999998</v>
      </c>
      <c r="I189" s="501">
        <v>2616.84</v>
      </c>
      <c r="J189" s="501">
        <v>2731.19</v>
      </c>
      <c r="K189" s="501">
        <v>2733.1</v>
      </c>
      <c r="L189" s="501">
        <v>2731.38</v>
      </c>
      <c r="M189" s="501">
        <v>2727.59</v>
      </c>
      <c r="N189" s="501">
        <v>2730.94</v>
      </c>
      <c r="O189" s="501">
        <v>2730.28</v>
      </c>
      <c r="P189" s="501">
        <v>2727.92</v>
      </c>
      <c r="Q189" s="501">
        <v>2723.37</v>
      </c>
      <c r="R189" s="501">
        <v>2718.44</v>
      </c>
      <c r="S189" s="501">
        <v>2714.7</v>
      </c>
      <c r="T189" s="501">
        <v>2708.54</v>
      </c>
      <c r="U189" s="501">
        <v>2707.83</v>
      </c>
      <c r="V189" s="501">
        <v>2709.67</v>
      </c>
      <c r="W189" s="501">
        <v>2687.6</v>
      </c>
      <c r="X189" s="501">
        <v>2596.1999999999998</v>
      </c>
      <c r="Y189" s="501">
        <v>2255.54</v>
      </c>
      <c r="Z189" s="502"/>
    </row>
    <row r="190" spans="1:26">
      <c r="A190" s="500">
        <v>45077</v>
      </c>
      <c r="B190" s="501">
        <v>1989.39</v>
      </c>
      <c r="C190" s="501">
        <v>1863.83</v>
      </c>
      <c r="D190" s="501">
        <v>1803.33</v>
      </c>
      <c r="E190" s="501">
        <v>1769.65</v>
      </c>
      <c r="F190" s="501">
        <v>1765.65</v>
      </c>
      <c r="G190" s="501">
        <v>1930.64</v>
      </c>
      <c r="H190" s="501">
        <v>2331.8000000000002</v>
      </c>
      <c r="I190" s="501">
        <v>2569.56</v>
      </c>
      <c r="J190" s="501">
        <v>2755.44</v>
      </c>
      <c r="K190" s="501">
        <v>2755.61</v>
      </c>
      <c r="L190" s="501">
        <v>2753.16</v>
      </c>
      <c r="M190" s="501">
        <v>2749.37</v>
      </c>
      <c r="N190" s="501">
        <v>2752.75</v>
      </c>
      <c r="O190" s="501">
        <v>2749.42</v>
      </c>
      <c r="P190" s="501">
        <v>2740.27</v>
      </c>
      <c r="Q190" s="501">
        <v>2732.9</v>
      </c>
      <c r="R190" s="501">
        <v>2729.67</v>
      </c>
      <c r="S190" s="501">
        <v>2727.6</v>
      </c>
      <c r="T190" s="501">
        <v>2725.53</v>
      </c>
      <c r="U190" s="501">
        <v>2727.71</v>
      </c>
      <c r="V190" s="501">
        <v>2731.46</v>
      </c>
      <c r="W190" s="501">
        <v>2712.28</v>
      </c>
      <c r="X190" s="501">
        <v>2614.73</v>
      </c>
      <c r="Y190" s="501">
        <v>2311.86</v>
      </c>
      <c r="Z190" s="502"/>
    </row>
    <row r="191" spans="1:26" ht="16">
      <c r="B191" s="508">
        <f>AVERAGE(B160:Y190)</f>
        <v>2349.6379838709681</v>
      </c>
      <c r="C191" s="489"/>
      <c r="D191" s="489"/>
      <c r="E191" s="489"/>
      <c r="F191" s="489"/>
      <c r="G191" s="489"/>
      <c r="H191" s="489"/>
      <c r="I191" s="489"/>
      <c r="J191" s="489"/>
      <c r="K191" s="491"/>
      <c r="L191" s="491"/>
      <c r="M191" s="491"/>
      <c r="N191" s="491"/>
      <c r="O191" s="491"/>
      <c r="P191" s="491"/>
      <c r="Q191" s="491"/>
      <c r="R191" s="491"/>
      <c r="S191" s="491"/>
      <c r="T191" s="491"/>
      <c r="U191" s="491"/>
      <c r="V191" s="491"/>
      <c r="W191" s="491"/>
      <c r="X191" s="491"/>
      <c r="Y191" s="491"/>
      <c r="Z191" s="505"/>
    </row>
    <row r="192" spans="1:26">
      <c r="A192" s="503"/>
      <c r="B192" s="504"/>
      <c r="C192" s="489"/>
      <c r="D192" s="489"/>
      <c r="E192" s="489"/>
      <c r="F192" s="489"/>
      <c r="G192" s="489"/>
      <c r="H192" s="489"/>
      <c r="I192" s="489"/>
      <c r="J192" s="489"/>
      <c r="K192" s="491"/>
      <c r="L192" s="491"/>
      <c r="M192" s="491"/>
      <c r="N192" s="491"/>
      <c r="O192" s="491"/>
      <c r="P192" s="491"/>
      <c r="Q192" s="491"/>
      <c r="R192" s="491"/>
      <c r="S192" s="491"/>
      <c r="T192" s="491"/>
      <c r="U192" s="491"/>
      <c r="V192" s="491"/>
      <c r="W192" s="491"/>
      <c r="X192" s="491"/>
      <c r="Y192" s="491"/>
      <c r="Z192" s="505"/>
    </row>
    <row r="193" spans="1:26" ht="16">
      <c r="A193" s="495" t="s">
        <v>711</v>
      </c>
      <c r="B193" s="866" t="s">
        <v>737</v>
      </c>
      <c r="C193" s="866"/>
      <c r="D193" s="866"/>
      <c r="E193" s="866"/>
      <c r="F193" s="866"/>
      <c r="G193" s="866"/>
      <c r="H193" s="866"/>
      <c r="I193" s="866"/>
      <c r="J193" s="866"/>
      <c r="K193" s="866"/>
      <c r="L193" s="866"/>
      <c r="M193" s="866"/>
      <c r="N193" s="866"/>
      <c r="O193" s="866"/>
      <c r="P193" s="866"/>
      <c r="Q193" s="866"/>
      <c r="R193" s="866"/>
      <c r="S193" s="866"/>
      <c r="T193" s="866"/>
      <c r="U193" s="866"/>
      <c r="V193" s="866"/>
      <c r="W193" s="866"/>
      <c r="X193" s="866"/>
      <c r="Y193" s="866"/>
      <c r="Z193" s="496"/>
    </row>
    <row r="194" spans="1:26" ht="17">
      <c r="A194" s="497" t="s">
        <v>280</v>
      </c>
      <c r="B194" s="498" t="s">
        <v>713</v>
      </c>
      <c r="C194" s="498" t="s">
        <v>714</v>
      </c>
      <c r="D194" s="498" t="s">
        <v>715</v>
      </c>
      <c r="E194" s="498" t="s">
        <v>716</v>
      </c>
      <c r="F194" s="498" t="s">
        <v>717</v>
      </c>
      <c r="G194" s="498" t="s">
        <v>718</v>
      </c>
      <c r="H194" s="498" t="s">
        <v>719</v>
      </c>
      <c r="I194" s="498" t="s">
        <v>720</v>
      </c>
      <c r="J194" s="498" t="s">
        <v>721</v>
      </c>
      <c r="K194" s="498" t="s">
        <v>722</v>
      </c>
      <c r="L194" s="498" t="s">
        <v>723</v>
      </c>
      <c r="M194" s="498" t="s">
        <v>724</v>
      </c>
      <c r="N194" s="498" t="s">
        <v>725</v>
      </c>
      <c r="O194" s="498" t="s">
        <v>726</v>
      </c>
      <c r="P194" s="498" t="s">
        <v>727</v>
      </c>
      <c r="Q194" s="498" t="s">
        <v>728</v>
      </c>
      <c r="R194" s="498" t="s">
        <v>729</v>
      </c>
      <c r="S194" s="498" t="s">
        <v>730</v>
      </c>
      <c r="T194" s="498" t="s">
        <v>731</v>
      </c>
      <c r="U194" s="498" t="s">
        <v>732</v>
      </c>
      <c r="V194" s="498" t="s">
        <v>733</v>
      </c>
      <c r="W194" s="498" t="s">
        <v>734</v>
      </c>
      <c r="X194" s="498" t="s">
        <v>735</v>
      </c>
      <c r="Y194" s="498" t="s">
        <v>736</v>
      </c>
      <c r="Z194" s="499"/>
    </row>
    <row r="195" spans="1:26">
      <c r="A195" s="500">
        <v>45047</v>
      </c>
      <c r="B195" s="501">
        <v>2301.25</v>
      </c>
      <c r="C195" s="501">
        <v>2199.9899999999998</v>
      </c>
      <c r="D195" s="501">
        <v>2134.86</v>
      </c>
      <c r="E195" s="501">
        <v>2078.6799999999998</v>
      </c>
      <c r="F195" s="501">
        <v>2063.61</v>
      </c>
      <c r="G195" s="501">
        <v>2087.79</v>
      </c>
      <c r="H195" s="501">
        <v>2142.36</v>
      </c>
      <c r="I195" s="501">
        <v>2276.15</v>
      </c>
      <c r="J195" s="501">
        <v>2497.69</v>
      </c>
      <c r="K195" s="501">
        <v>2634.8</v>
      </c>
      <c r="L195" s="501">
        <v>2641.04</v>
      </c>
      <c r="M195" s="501">
        <v>2627.25</v>
      </c>
      <c r="N195" s="501">
        <v>2610.6</v>
      </c>
      <c r="O195" s="501">
        <v>2601.1</v>
      </c>
      <c r="P195" s="501">
        <v>2579.19</v>
      </c>
      <c r="Q195" s="501">
        <v>2559.79</v>
      </c>
      <c r="R195" s="501">
        <v>2557.4499999999998</v>
      </c>
      <c r="S195" s="501">
        <v>2571.17</v>
      </c>
      <c r="T195" s="501">
        <v>2636</v>
      </c>
      <c r="U195" s="501">
        <v>2697.18</v>
      </c>
      <c r="V195" s="501">
        <v>2727.77</v>
      </c>
      <c r="W195" s="501">
        <v>2668.69</v>
      </c>
      <c r="X195" s="501">
        <v>2572.4699999999998</v>
      </c>
      <c r="Y195" s="501">
        <v>2373.63</v>
      </c>
      <c r="Z195" s="502"/>
    </row>
    <row r="196" spans="1:26">
      <c r="A196" s="500">
        <v>45048</v>
      </c>
      <c r="B196" s="501">
        <v>2135.86</v>
      </c>
      <c r="C196" s="501">
        <v>1990.6</v>
      </c>
      <c r="D196" s="501">
        <v>1917.79</v>
      </c>
      <c r="E196" s="501">
        <v>1923.19</v>
      </c>
      <c r="F196" s="501">
        <v>1962.02</v>
      </c>
      <c r="G196" s="501">
        <v>2092.15</v>
      </c>
      <c r="H196" s="501">
        <v>2295.0100000000002</v>
      </c>
      <c r="I196" s="501">
        <v>2524.16</v>
      </c>
      <c r="J196" s="501">
        <v>2655.74</v>
      </c>
      <c r="K196" s="501">
        <v>2659.43</v>
      </c>
      <c r="L196" s="501">
        <v>2635.77</v>
      </c>
      <c r="M196" s="501">
        <v>2652.62</v>
      </c>
      <c r="N196" s="501">
        <v>2669.6</v>
      </c>
      <c r="O196" s="501">
        <v>2671.6</v>
      </c>
      <c r="P196" s="501">
        <v>2640.88</v>
      </c>
      <c r="Q196" s="501">
        <v>2603.7399999999998</v>
      </c>
      <c r="R196" s="501">
        <v>2582.7199999999998</v>
      </c>
      <c r="S196" s="501">
        <v>2574.1799999999998</v>
      </c>
      <c r="T196" s="501">
        <v>2571.3000000000002</v>
      </c>
      <c r="U196" s="501">
        <v>2577.61</v>
      </c>
      <c r="V196" s="501">
        <v>2593.34</v>
      </c>
      <c r="W196" s="501">
        <v>2569.56</v>
      </c>
      <c r="X196" s="501">
        <v>2400</v>
      </c>
      <c r="Y196" s="501">
        <v>2148.7199999999998</v>
      </c>
      <c r="Z196" s="502"/>
    </row>
    <row r="197" spans="1:26">
      <c r="A197" s="500">
        <v>45049</v>
      </c>
      <c r="B197" s="501">
        <v>2014.94</v>
      </c>
      <c r="C197" s="501">
        <v>1897.46</v>
      </c>
      <c r="D197" s="501">
        <v>1885.47</v>
      </c>
      <c r="E197" s="501">
        <v>1894.71</v>
      </c>
      <c r="F197" s="501">
        <v>1928.36</v>
      </c>
      <c r="G197" s="501">
        <v>2048.44</v>
      </c>
      <c r="H197" s="501">
        <v>2233.21</v>
      </c>
      <c r="I197" s="501">
        <v>2432.39</v>
      </c>
      <c r="J197" s="501">
        <v>2585.4299999999998</v>
      </c>
      <c r="K197" s="501">
        <v>2634.64</v>
      </c>
      <c r="L197" s="501">
        <v>2631.6</v>
      </c>
      <c r="M197" s="501">
        <v>2617.3000000000002</v>
      </c>
      <c r="N197" s="501">
        <v>2621.65</v>
      </c>
      <c r="O197" s="501">
        <v>2627.98</v>
      </c>
      <c r="P197" s="501">
        <v>2614.89</v>
      </c>
      <c r="Q197" s="501">
        <v>2612.5100000000002</v>
      </c>
      <c r="R197" s="501">
        <v>2623.36</v>
      </c>
      <c r="S197" s="501">
        <v>2615.9499999999998</v>
      </c>
      <c r="T197" s="501">
        <v>2596.21</v>
      </c>
      <c r="U197" s="501">
        <v>2613.63</v>
      </c>
      <c r="V197" s="501">
        <v>2610.37</v>
      </c>
      <c r="W197" s="501">
        <v>2576.46</v>
      </c>
      <c r="X197" s="501">
        <v>2370.79</v>
      </c>
      <c r="Y197" s="501">
        <v>2175.4499999999998</v>
      </c>
      <c r="Z197" s="502"/>
    </row>
    <row r="198" spans="1:26">
      <c r="A198" s="500">
        <v>45050</v>
      </c>
      <c r="B198" s="501">
        <v>1973.26</v>
      </c>
      <c r="C198" s="501">
        <v>1884.11</v>
      </c>
      <c r="D198" s="501">
        <v>1829.4</v>
      </c>
      <c r="E198" s="501">
        <v>1823.13</v>
      </c>
      <c r="F198" s="501">
        <v>1883.14</v>
      </c>
      <c r="G198" s="501">
        <v>1965.25</v>
      </c>
      <c r="H198" s="501">
        <v>2169.33</v>
      </c>
      <c r="I198" s="501">
        <v>2381.5</v>
      </c>
      <c r="J198" s="501">
        <v>2451.02</v>
      </c>
      <c r="K198" s="501">
        <v>2525.9699999999998</v>
      </c>
      <c r="L198" s="501">
        <v>2560.4499999999998</v>
      </c>
      <c r="M198" s="501">
        <v>2558.63</v>
      </c>
      <c r="N198" s="501">
        <v>2562.58</v>
      </c>
      <c r="O198" s="501">
        <v>2563.85</v>
      </c>
      <c r="P198" s="501">
        <v>2550.8200000000002</v>
      </c>
      <c r="Q198" s="501">
        <v>2526.7199999999998</v>
      </c>
      <c r="R198" s="501">
        <v>2504.09</v>
      </c>
      <c r="S198" s="501">
        <v>2475.7399999999998</v>
      </c>
      <c r="T198" s="501">
        <v>2440.06</v>
      </c>
      <c r="U198" s="501">
        <v>2506.73</v>
      </c>
      <c r="V198" s="501">
        <v>2551.62</v>
      </c>
      <c r="W198" s="501">
        <v>2548.19</v>
      </c>
      <c r="X198" s="501">
        <v>2398.0100000000002</v>
      </c>
      <c r="Y198" s="501">
        <v>2198.2399999999998</v>
      </c>
      <c r="Z198" s="502"/>
    </row>
    <row r="199" spans="1:26">
      <c r="A199" s="500">
        <v>45051</v>
      </c>
      <c r="B199" s="501">
        <v>2153.9299999999998</v>
      </c>
      <c r="C199" s="501">
        <v>2000.77</v>
      </c>
      <c r="D199" s="501">
        <v>1941.28</v>
      </c>
      <c r="E199" s="501">
        <v>1927.79</v>
      </c>
      <c r="F199" s="501">
        <v>1988.68</v>
      </c>
      <c r="G199" s="501">
        <v>2126.1799999999998</v>
      </c>
      <c r="H199" s="501">
        <v>2249.29</v>
      </c>
      <c r="I199" s="501">
        <v>2437.4899999999998</v>
      </c>
      <c r="J199" s="501">
        <v>2580.0500000000002</v>
      </c>
      <c r="K199" s="501">
        <v>2620.33</v>
      </c>
      <c r="L199" s="501">
        <v>2648.45</v>
      </c>
      <c r="M199" s="501">
        <v>2675.57</v>
      </c>
      <c r="N199" s="501">
        <v>2663.13</v>
      </c>
      <c r="O199" s="501">
        <v>2679.04</v>
      </c>
      <c r="P199" s="501">
        <v>2660.08</v>
      </c>
      <c r="Q199" s="501">
        <v>2632.89</v>
      </c>
      <c r="R199" s="501">
        <v>2614.2600000000002</v>
      </c>
      <c r="S199" s="501">
        <v>2598.42</v>
      </c>
      <c r="T199" s="501">
        <v>2584.5100000000002</v>
      </c>
      <c r="U199" s="501">
        <v>2580.77</v>
      </c>
      <c r="V199" s="501">
        <v>2588.21</v>
      </c>
      <c r="W199" s="501">
        <v>2584.5500000000002</v>
      </c>
      <c r="X199" s="501">
        <v>2469.9699999999998</v>
      </c>
      <c r="Y199" s="501">
        <v>2296.37</v>
      </c>
      <c r="Z199" s="502"/>
    </row>
    <row r="200" spans="1:26">
      <c r="A200" s="500">
        <v>45052</v>
      </c>
      <c r="B200" s="501">
        <v>2249.08</v>
      </c>
      <c r="C200" s="501">
        <v>2194.11</v>
      </c>
      <c r="D200" s="501">
        <v>2106.15</v>
      </c>
      <c r="E200" s="501">
        <v>2002.12</v>
      </c>
      <c r="F200" s="501">
        <v>2007.99</v>
      </c>
      <c r="G200" s="501">
        <v>2112.4499999999998</v>
      </c>
      <c r="H200" s="501">
        <v>2176.35</v>
      </c>
      <c r="I200" s="501">
        <v>2272.13</v>
      </c>
      <c r="J200" s="501">
        <v>2528.92</v>
      </c>
      <c r="K200" s="501">
        <v>2627.06</v>
      </c>
      <c r="L200" s="501">
        <v>2668.02</v>
      </c>
      <c r="M200" s="501">
        <v>2643.9</v>
      </c>
      <c r="N200" s="501">
        <v>2610.88</v>
      </c>
      <c r="O200" s="501">
        <v>2604.14</v>
      </c>
      <c r="P200" s="501">
        <v>2595.13</v>
      </c>
      <c r="Q200" s="501">
        <v>2592.61</v>
      </c>
      <c r="R200" s="501">
        <v>2579.4299999999998</v>
      </c>
      <c r="S200" s="501">
        <v>2559.02</v>
      </c>
      <c r="T200" s="501">
        <v>2557.86</v>
      </c>
      <c r="U200" s="501">
        <v>2608.63</v>
      </c>
      <c r="V200" s="501">
        <v>2630.98</v>
      </c>
      <c r="W200" s="501">
        <v>2587.65</v>
      </c>
      <c r="X200" s="501">
        <v>2528.1799999999998</v>
      </c>
      <c r="Y200" s="501">
        <v>2321.23</v>
      </c>
      <c r="Z200" s="502"/>
    </row>
    <row r="201" spans="1:26">
      <c r="A201" s="500">
        <v>45053</v>
      </c>
      <c r="B201" s="501">
        <v>2217.6999999999998</v>
      </c>
      <c r="C201" s="501">
        <v>2097.42</v>
      </c>
      <c r="D201" s="501">
        <v>1992.24</v>
      </c>
      <c r="E201" s="501">
        <v>1947.14</v>
      </c>
      <c r="F201" s="501">
        <v>1935.03</v>
      </c>
      <c r="G201" s="501">
        <v>1910.94</v>
      </c>
      <c r="H201" s="501">
        <v>2036.91</v>
      </c>
      <c r="I201" s="501">
        <v>2126.12</v>
      </c>
      <c r="J201" s="501">
        <v>2259.64</v>
      </c>
      <c r="K201" s="501">
        <v>2366.86</v>
      </c>
      <c r="L201" s="501">
        <v>2384.4499999999998</v>
      </c>
      <c r="M201" s="501">
        <v>2385.64</v>
      </c>
      <c r="N201" s="501">
        <v>2380.4699999999998</v>
      </c>
      <c r="O201" s="501">
        <v>2372.62</v>
      </c>
      <c r="P201" s="501">
        <v>2366.31</v>
      </c>
      <c r="Q201" s="501">
        <v>2366.25</v>
      </c>
      <c r="R201" s="501">
        <v>2368.63</v>
      </c>
      <c r="S201" s="501">
        <v>2370.84</v>
      </c>
      <c r="T201" s="501">
        <v>2399.4499999999998</v>
      </c>
      <c r="U201" s="501">
        <v>2459.0100000000002</v>
      </c>
      <c r="V201" s="501">
        <v>2544.35</v>
      </c>
      <c r="W201" s="501">
        <v>2467.96</v>
      </c>
      <c r="X201" s="501">
        <v>2409.86</v>
      </c>
      <c r="Y201" s="501">
        <v>2227.63</v>
      </c>
      <c r="Z201" s="502"/>
    </row>
    <row r="202" spans="1:26">
      <c r="A202" s="500">
        <v>45054</v>
      </c>
      <c r="B202" s="501">
        <v>2211.34</v>
      </c>
      <c r="C202" s="501">
        <v>2125.63</v>
      </c>
      <c r="D202" s="501">
        <v>2022.69</v>
      </c>
      <c r="E202" s="501">
        <v>1867.78</v>
      </c>
      <c r="F202" s="501">
        <v>1857.92</v>
      </c>
      <c r="G202" s="501">
        <v>1878.64</v>
      </c>
      <c r="H202" s="501">
        <v>2079.0300000000002</v>
      </c>
      <c r="I202" s="501">
        <v>2189.27</v>
      </c>
      <c r="J202" s="501">
        <v>2367.2800000000002</v>
      </c>
      <c r="K202" s="501">
        <v>2521.33</v>
      </c>
      <c r="L202" s="501">
        <v>2545.5300000000002</v>
      </c>
      <c r="M202" s="501">
        <v>2545.13</v>
      </c>
      <c r="N202" s="501">
        <v>2534.85</v>
      </c>
      <c r="O202" s="501">
        <v>2530.19</v>
      </c>
      <c r="P202" s="501">
        <v>2526.67</v>
      </c>
      <c r="Q202" s="501">
        <v>2522.54</v>
      </c>
      <c r="R202" s="501">
        <v>2513.29</v>
      </c>
      <c r="S202" s="501">
        <v>2480.37</v>
      </c>
      <c r="T202" s="501">
        <v>2498.29</v>
      </c>
      <c r="U202" s="501">
        <v>2539.89</v>
      </c>
      <c r="V202" s="501">
        <v>2554.38</v>
      </c>
      <c r="W202" s="501">
        <v>2500.7399999999998</v>
      </c>
      <c r="X202" s="501">
        <v>2448.36</v>
      </c>
      <c r="Y202" s="501">
        <v>2294.7600000000002</v>
      </c>
      <c r="Z202" s="502"/>
    </row>
    <row r="203" spans="1:26">
      <c r="A203" s="500">
        <v>45055</v>
      </c>
      <c r="B203" s="501">
        <v>2247.1799999999998</v>
      </c>
      <c r="C203" s="501">
        <v>2159.54</v>
      </c>
      <c r="D203" s="501">
        <v>2110.3200000000002</v>
      </c>
      <c r="E203" s="501">
        <v>2075.5700000000002</v>
      </c>
      <c r="F203" s="501">
        <v>2051.9299999999998</v>
      </c>
      <c r="G203" s="501">
        <v>2055.4699999999998</v>
      </c>
      <c r="H203" s="501">
        <v>2098.71</v>
      </c>
      <c r="I203" s="501">
        <v>2191.77</v>
      </c>
      <c r="J203" s="501">
        <v>2406.48</v>
      </c>
      <c r="K203" s="501">
        <v>2488.8200000000002</v>
      </c>
      <c r="L203" s="501">
        <v>2534.94</v>
      </c>
      <c r="M203" s="501">
        <v>2515.48</v>
      </c>
      <c r="N203" s="501">
        <v>2508.7199999999998</v>
      </c>
      <c r="O203" s="501">
        <v>2505.38</v>
      </c>
      <c r="P203" s="501">
        <v>2501.15</v>
      </c>
      <c r="Q203" s="501">
        <v>2492.62</v>
      </c>
      <c r="R203" s="501">
        <v>2464.9899999999998</v>
      </c>
      <c r="S203" s="501">
        <v>2464.4899999999998</v>
      </c>
      <c r="T203" s="501">
        <v>2480.59</v>
      </c>
      <c r="U203" s="501">
        <v>2523.7199999999998</v>
      </c>
      <c r="V203" s="501">
        <v>2580.33</v>
      </c>
      <c r="W203" s="501">
        <v>2564.2800000000002</v>
      </c>
      <c r="X203" s="501">
        <v>2522.08</v>
      </c>
      <c r="Y203" s="501">
        <v>2347.5500000000002</v>
      </c>
      <c r="Z203" s="502"/>
    </row>
    <row r="204" spans="1:26">
      <c r="A204" s="500">
        <v>45056</v>
      </c>
      <c r="B204" s="501">
        <v>2324.04</v>
      </c>
      <c r="C204" s="501">
        <v>2176.15</v>
      </c>
      <c r="D204" s="501">
        <v>2112.15</v>
      </c>
      <c r="E204" s="501">
        <v>2077.7199999999998</v>
      </c>
      <c r="F204" s="501">
        <v>2110.73</v>
      </c>
      <c r="G204" s="501">
        <v>2189.34</v>
      </c>
      <c r="H204" s="501">
        <v>2374.48</v>
      </c>
      <c r="I204" s="501">
        <v>2608.5700000000002</v>
      </c>
      <c r="J204" s="501">
        <v>2659.28</v>
      </c>
      <c r="K204" s="501">
        <v>2662.58</v>
      </c>
      <c r="L204" s="501">
        <v>2653.63</v>
      </c>
      <c r="M204" s="501">
        <v>2687.73</v>
      </c>
      <c r="N204" s="501">
        <v>2694.87</v>
      </c>
      <c r="O204" s="501">
        <v>2701.73</v>
      </c>
      <c r="P204" s="501">
        <v>2686.38</v>
      </c>
      <c r="Q204" s="501">
        <v>2675.88</v>
      </c>
      <c r="R204" s="501">
        <v>2655.14</v>
      </c>
      <c r="S204" s="501">
        <v>2635.07</v>
      </c>
      <c r="T204" s="501">
        <v>2628.32</v>
      </c>
      <c r="U204" s="501">
        <v>2614.58</v>
      </c>
      <c r="V204" s="501">
        <v>2625.85</v>
      </c>
      <c r="W204" s="501">
        <v>2630.69</v>
      </c>
      <c r="X204" s="501">
        <v>2449.54</v>
      </c>
      <c r="Y204" s="501">
        <v>2343.7399999999998</v>
      </c>
      <c r="Z204" s="502"/>
    </row>
    <row r="205" spans="1:26">
      <c r="A205" s="500">
        <v>45057</v>
      </c>
      <c r="B205" s="501">
        <v>2029.04</v>
      </c>
      <c r="C205" s="501">
        <v>1911.21</v>
      </c>
      <c r="D205" s="501">
        <v>1874.87</v>
      </c>
      <c r="E205" s="501">
        <v>1842.01</v>
      </c>
      <c r="F205" s="501">
        <v>1872.76</v>
      </c>
      <c r="G205" s="501">
        <v>1974.95</v>
      </c>
      <c r="H205" s="501">
        <v>2534.04</v>
      </c>
      <c r="I205" s="501">
        <v>2549.19</v>
      </c>
      <c r="J205" s="501">
        <v>2641.83</v>
      </c>
      <c r="K205" s="501">
        <v>2644.76</v>
      </c>
      <c r="L205" s="501">
        <v>2599.11</v>
      </c>
      <c r="M205" s="501">
        <v>2644.23</v>
      </c>
      <c r="N205" s="501">
        <v>2653.27</v>
      </c>
      <c r="O205" s="501">
        <v>2641.14</v>
      </c>
      <c r="P205" s="501">
        <v>2614.7800000000002</v>
      </c>
      <c r="Q205" s="501">
        <v>2540.89</v>
      </c>
      <c r="R205" s="501">
        <v>2488.9899999999998</v>
      </c>
      <c r="S205" s="501">
        <v>2472.7800000000002</v>
      </c>
      <c r="T205" s="501">
        <v>2455.9</v>
      </c>
      <c r="U205" s="501">
        <v>2467.75</v>
      </c>
      <c r="V205" s="501">
        <v>2497.34</v>
      </c>
      <c r="W205" s="501">
        <v>2497.79</v>
      </c>
      <c r="X205" s="501">
        <v>2367.11</v>
      </c>
      <c r="Y205" s="501">
        <v>2124.13</v>
      </c>
      <c r="Z205" s="502"/>
    </row>
    <row r="206" spans="1:26">
      <c r="A206" s="500">
        <v>45058</v>
      </c>
      <c r="B206" s="501">
        <v>2012.89</v>
      </c>
      <c r="C206" s="501">
        <v>1896.94</v>
      </c>
      <c r="D206" s="501">
        <v>1841.93</v>
      </c>
      <c r="E206" s="501">
        <v>1804.3</v>
      </c>
      <c r="F206" s="501">
        <v>1892.72</v>
      </c>
      <c r="G206" s="501">
        <v>2269.8000000000002</v>
      </c>
      <c r="H206" s="501">
        <v>2705.18</v>
      </c>
      <c r="I206" s="501">
        <v>2744.4</v>
      </c>
      <c r="J206" s="501">
        <v>2764.11</v>
      </c>
      <c r="K206" s="501">
        <v>2767.51</v>
      </c>
      <c r="L206" s="501">
        <v>2762.89</v>
      </c>
      <c r="M206" s="501">
        <v>2753</v>
      </c>
      <c r="N206" s="501">
        <v>2757.95</v>
      </c>
      <c r="O206" s="501">
        <v>2755.2</v>
      </c>
      <c r="P206" s="501">
        <v>2840.12</v>
      </c>
      <c r="Q206" s="501">
        <v>2843.39</v>
      </c>
      <c r="R206" s="501">
        <v>2659.07</v>
      </c>
      <c r="S206" s="501">
        <v>2656.36</v>
      </c>
      <c r="T206" s="501">
        <v>2643.25</v>
      </c>
      <c r="U206" s="501">
        <v>2642.46</v>
      </c>
      <c r="V206" s="501">
        <v>2653.46</v>
      </c>
      <c r="W206" s="501">
        <v>2616.48</v>
      </c>
      <c r="X206" s="501">
        <v>2458.9499999999998</v>
      </c>
      <c r="Y206" s="501">
        <v>2355.12</v>
      </c>
      <c r="Z206" s="502"/>
    </row>
    <row r="207" spans="1:26">
      <c r="A207" s="500">
        <v>45059</v>
      </c>
      <c r="B207" s="501">
        <v>2300.16</v>
      </c>
      <c r="C207" s="501">
        <v>2075.3000000000002</v>
      </c>
      <c r="D207" s="501">
        <v>1946.29</v>
      </c>
      <c r="E207" s="501">
        <v>1920.47</v>
      </c>
      <c r="F207" s="501">
        <v>1919.8</v>
      </c>
      <c r="G207" s="501">
        <v>1947.54</v>
      </c>
      <c r="H207" s="501">
        <v>2115.2199999999998</v>
      </c>
      <c r="I207" s="501">
        <v>2281.1999999999998</v>
      </c>
      <c r="J207" s="501">
        <v>2451.81</v>
      </c>
      <c r="K207" s="501">
        <v>2650.82</v>
      </c>
      <c r="L207" s="501">
        <v>2659.13</v>
      </c>
      <c r="M207" s="501">
        <v>2659.3</v>
      </c>
      <c r="N207" s="501">
        <v>2650.59</v>
      </c>
      <c r="O207" s="501">
        <v>2640.71</v>
      </c>
      <c r="P207" s="501">
        <v>2637.67</v>
      </c>
      <c r="Q207" s="501">
        <v>2622.15</v>
      </c>
      <c r="R207" s="501">
        <v>2579.83</v>
      </c>
      <c r="S207" s="501">
        <v>2533.7399999999998</v>
      </c>
      <c r="T207" s="501">
        <v>2529.9899999999998</v>
      </c>
      <c r="U207" s="501">
        <v>2571.1</v>
      </c>
      <c r="V207" s="501">
        <v>2589.91</v>
      </c>
      <c r="W207" s="501">
        <v>2549.4899999999998</v>
      </c>
      <c r="X207" s="501">
        <v>2485.6</v>
      </c>
      <c r="Y207" s="501">
        <v>2327.6799999999998</v>
      </c>
      <c r="Z207" s="502"/>
    </row>
    <row r="208" spans="1:26">
      <c r="A208" s="500">
        <v>45060</v>
      </c>
      <c r="B208" s="501">
        <v>2152</v>
      </c>
      <c r="C208" s="501">
        <v>1975.71</v>
      </c>
      <c r="D208" s="501">
        <v>1904.25</v>
      </c>
      <c r="E208" s="501">
        <v>1888.55</v>
      </c>
      <c r="F208" s="501">
        <v>1880.56</v>
      </c>
      <c r="G208" s="501">
        <v>1818.26</v>
      </c>
      <c r="H208" s="501">
        <v>1816.34</v>
      </c>
      <c r="I208" s="501">
        <v>2017.79</v>
      </c>
      <c r="J208" s="501">
        <v>2263.79</v>
      </c>
      <c r="K208" s="501">
        <v>2382.92</v>
      </c>
      <c r="L208" s="501">
        <v>2410.5300000000002</v>
      </c>
      <c r="M208" s="501">
        <v>2413.96</v>
      </c>
      <c r="N208" s="501">
        <v>2409.54</v>
      </c>
      <c r="O208" s="501">
        <v>2406.36</v>
      </c>
      <c r="P208" s="501">
        <v>2402.2800000000002</v>
      </c>
      <c r="Q208" s="501">
        <v>2406.69</v>
      </c>
      <c r="R208" s="501">
        <v>2407.5300000000002</v>
      </c>
      <c r="S208" s="501">
        <v>2385.41</v>
      </c>
      <c r="T208" s="501">
        <v>2415.46</v>
      </c>
      <c r="U208" s="501">
        <v>2485.79</v>
      </c>
      <c r="V208" s="501">
        <v>2527.98</v>
      </c>
      <c r="W208" s="501">
        <v>2486.2399999999998</v>
      </c>
      <c r="X208" s="501">
        <v>2421.77</v>
      </c>
      <c r="Y208" s="501">
        <v>2284.5500000000002</v>
      </c>
      <c r="Z208" s="502"/>
    </row>
    <row r="209" spans="1:26">
      <c r="A209" s="500">
        <v>45061</v>
      </c>
      <c r="B209" s="501">
        <v>2116.02</v>
      </c>
      <c r="C209" s="501">
        <v>1947.54</v>
      </c>
      <c r="D209" s="501">
        <v>1896.49</v>
      </c>
      <c r="E209" s="501">
        <v>1877.32</v>
      </c>
      <c r="F209" s="501">
        <v>1922.57</v>
      </c>
      <c r="G209" s="501">
        <v>2016.9</v>
      </c>
      <c r="H209" s="501">
        <v>2258.16</v>
      </c>
      <c r="I209" s="501">
        <v>2455.38</v>
      </c>
      <c r="J209" s="501">
        <v>2698.08</v>
      </c>
      <c r="K209" s="501">
        <v>2731.13</v>
      </c>
      <c r="L209" s="501">
        <v>2711.1</v>
      </c>
      <c r="M209" s="501">
        <v>2722.28</v>
      </c>
      <c r="N209" s="501">
        <v>2721.69</v>
      </c>
      <c r="O209" s="501">
        <v>2742.23</v>
      </c>
      <c r="P209" s="501">
        <v>2698.39</v>
      </c>
      <c r="Q209" s="501">
        <v>2672.37</v>
      </c>
      <c r="R209" s="501">
        <v>2653.75</v>
      </c>
      <c r="S209" s="501">
        <v>2626.03</v>
      </c>
      <c r="T209" s="501">
        <v>2598.6</v>
      </c>
      <c r="U209" s="501">
        <v>2594.52</v>
      </c>
      <c r="V209" s="501">
        <v>2622.14</v>
      </c>
      <c r="W209" s="501">
        <v>2632.84</v>
      </c>
      <c r="X209" s="501">
        <v>2435.34</v>
      </c>
      <c r="Y209" s="501">
        <v>2305.54</v>
      </c>
      <c r="Z209" s="502"/>
    </row>
    <row r="210" spans="1:26">
      <c r="A210" s="500">
        <v>45062</v>
      </c>
      <c r="B210" s="501">
        <v>2062.9299999999998</v>
      </c>
      <c r="C210" s="501">
        <v>1987.83</v>
      </c>
      <c r="D210" s="501">
        <v>1916.23</v>
      </c>
      <c r="E210" s="501">
        <v>1905.63</v>
      </c>
      <c r="F210" s="501">
        <v>1943.14</v>
      </c>
      <c r="G210" s="501">
        <v>2102.59</v>
      </c>
      <c r="H210" s="501">
        <v>2292.02</v>
      </c>
      <c r="I210" s="501">
        <v>2449.4499999999998</v>
      </c>
      <c r="J210" s="501">
        <v>2662.39</v>
      </c>
      <c r="K210" s="501">
        <v>2685.93</v>
      </c>
      <c r="L210" s="501">
        <v>2668.3</v>
      </c>
      <c r="M210" s="501">
        <v>2664.02</v>
      </c>
      <c r="N210" s="501">
        <v>2654.94</v>
      </c>
      <c r="O210" s="501">
        <v>2683.5</v>
      </c>
      <c r="P210" s="501">
        <v>2655.95</v>
      </c>
      <c r="Q210" s="501">
        <v>2570.1799999999998</v>
      </c>
      <c r="R210" s="501">
        <v>2514.09</v>
      </c>
      <c r="S210" s="501">
        <v>2494.94</v>
      </c>
      <c r="T210" s="501">
        <v>2471.64</v>
      </c>
      <c r="U210" s="501">
        <v>2485.3200000000002</v>
      </c>
      <c r="V210" s="501">
        <v>2548.4299999999998</v>
      </c>
      <c r="W210" s="501">
        <v>2604.86</v>
      </c>
      <c r="X210" s="501">
        <v>2402.56</v>
      </c>
      <c r="Y210" s="501">
        <v>2219.13</v>
      </c>
      <c r="Z210" s="502"/>
    </row>
    <row r="211" spans="1:26">
      <c r="A211" s="500">
        <v>45063</v>
      </c>
      <c r="B211" s="501">
        <v>1985.94</v>
      </c>
      <c r="C211" s="501">
        <v>1904.18</v>
      </c>
      <c r="D211" s="501">
        <v>1845.12</v>
      </c>
      <c r="E211" s="501">
        <v>1803.4</v>
      </c>
      <c r="F211" s="501">
        <v>1846.85</v>
      </c>
      <c r="G211" s="501">
        <v>1974.42</v>
      </c>
      <c r="H211" s="501">
        <v>2243.2600000000002</v>
      </c>
      <c r="I211" s="501">
        <v>2418.09</v>
      </c>
      <c r="J211" s="501">
        <v>2609.75</v>
      </c>
      <c r="K211" s="501">
        <v>2672.49</v>
      </c>
      <c r="L211" s="501">
        <v>2634.24</v>
      </c>
      <c r="M211" s="501">
        <v>2669.52</v>
      </c>
      <c r="N211" s="501">
        <v>2658.34</v>
      </c>
      <c r="O211" s="501">
        <v>2671.01</v>
      </c>
      <c r="P211" s="501">
        <v>2615.6999999999998</v>
      </c>
      <c r="Q211" s="501">
        <v>2552.19</v>
      </c>
      <c r="R211" s="501">
        <v>2491.0700000000002</v>
      </c>
      <c r="S211" s="501">
        <v>2464.92</v>
      </c>
      <c r="T211" s="501">
        <v>2451.3200000000002</v>
      </c>
      <c r="U211" s="501">
        <v>2466.58</v>
      </c>
      <c r="V211" s="501">
        <v>2503.39</v>
      </c>
      <c r="W211" s="501">
        <v>2570.92</v>
      </c>
      <c r="X211" s="501">
        <v>2412.52</v>
      </c>
      <c r="Y211" s="501">
        <v>2168.02</v>
      </c>
      <c r="Z211" s="502"/>
    </row>
    <row r="212" spans="1:26">
      <c r="A212" s="500">
        <v>45064</v>
      </c>
      <c r="B212" s="501">
        <v>2034.07</v>
      </c>
      <c r="C212" s="501">
        <v>1953.08</v>
      </c>
      <c r="D212" s="501">
        <v>1856.46</v>
      </c>
      <c r="E212" s="501">
        <v>1840.01</v>
      </c>
      <c r="F212" s="501">
        <v>1916.97</v>
      </c>
      <c r="G212" s="501">
        <v>2023.15</v>
      </c>
      <c r="H212" s="501">
        <v>2219.08</v>
      </c>
      <c r="I212" s="501">
        <v>2418</v>
      </c>
      <c r="J212" s="501">
        <v>2608.19</v>
      </c>
      <c r="K212" s="501">
        <v>2647.69</v>
      </c>
      <c r="L212" s="501">
        <v>2625.35</v>
      </c>
      <c r="M212" s="501">
        <v>2632.54</v>
      </c>
      <c r="N212" s="501">
        <v>2628.75</v>
      </c>
      <c r="O212" s="501">
        <v>2643.85</v>
      </c>
      <c r="P212" s="501">
        <v>2630.92</v>
      </c>
      <c r="Q212" s="501">
        <v>2616.4</v>
      </c>
      <c r="R212" s="501">
        <v>2621.21</v>
      </c>
      <c r="S212" s="501">
        <v>2619.5700000000002</v>
      </c>
      <c r="T212" s="501">
        <v>2608.17</v>
      </c>
      <c r="U212" s="501">
        <v>2630.96</v>
      </c>
      <c r="V212" s="501">
        <v>2636.71</v>
      </c>
      <c r="W212" s="501">
        <v>2643.79</v>
      </c>
      <c r="X212" s="501">
        <v>2449.16</v>
      </c>
      <c r="Y212" s="501">
        <v>2287.88</v>
      </c>
      <c r="Z212" s="502"/>
    </row>
    <row r="213" spans="1:26">
      <c r="A213" s="500">
        <v>45065</v>
      </c>
      <c r="B213" s="501">
        <v>2029.41</v>
      </c>
      <c r="C213" s="501">
        <v>1894.53</v>
      </c>
      <c r="D213" s="501">
        <v>1813.93</v>
      </c>
      <c r="E213" s="501">
        <v>1780.29</v>
      </c>
      <c r="F213" s="501">
        <v>1810.39</v>
      </c>
      <c r="G213" s="501">
        <v>2080.36</v>
      </c>
      <c r="H213" s="501">
        <v>2260.5700000000002</v>
      </c>
      <c r="I213" s="501">
        <v>2519.21</v>
      </c>
      <c r="J213" s="501">
        <v>2707.27</v>
      </c>
      <c r="K213" s="501">
        <v>2757.36</v>
      </c>
      <c r="L213" s="501">
        <v>2744.88</v>
      </c>
      <c r="M213" s="501">
        <v>2760.04</v>
      </c>
      <c r="N213" s="501">
        <v>2760.48</v>
      </c>
      <c r="O213" s="501">
        <v>2762.99</v>
      </c>
      <c r="P213" s="501">
        <v>2749.32</v>
      </c>
      <c r="Q213" s="501">
        <v>2735.04</v>
      </c>
      <c r="R213" s="501">
        <v>2706.85</v>
      </c>
      <c r="S213" s="501">
        <v>2689.82</v>
      </c>
      <c r="T213" s="501">
        <v>2668.04</v>
      </c>
      <c r="U213" s="501">
        <v>2669.69</v>
      </c>
      <c r="V213" s="501">
        <v>2682.76</v>
      </c>
      <c r="W213" s="501">
        <v>2681.76</v>
      </c>
      <c r="X213" s="501">
        <v>2517.85</v>
      </c>
      <c r="Y213" s="501">
        <v>2314.54</v>
      </c>
      <c r="Z213" s="502"/>
    </row>
    <row r="214" spans="1:26">
      <c r="A214" s="500">
        <v>45066</v>
      </c>
      <c r="B214" s="501">
        <v>2310.04</v>
      </c>
      <c r="C214" s="501">
        <v>2195.1799999999998</v>
      </c>
      <c r="D214" s="501">
        <v>2123.23</v>
      </c>
      <c r="E214" s="501">
        <v>2022.6</v>
      </c>
      <c r="F214" s="501">
        <v>2019.89</v>
      </c>
      <c r="G214" s="501">
        <v>2081.2199999999998</v>
      </c>
      <c r="H214" s="501">
        <v>2187.8000000000002</v>
      </c>
      <c r="I214" s="501">
        <v>2367.1999999999998</v>
      </c>
      <c r="J214" s="501">
        <v>2568.31</v>
      </c>
      <c r="K214" s="501">
        <v>2700.28</v>
      </c>
      <c r="L214" s="501">
        <v>2738.26</v>
      </c>
      <c r="M214" s="501">
        <v>2720.74</v>
      </c>
      <c r="N214" s="501">
        <v>2646.74</v>
      </c>
      <c r="O214" s="501">
        <v>2621.9</v>
      </c>
      <c r="P214" s="501">
        <v>2609.54</v>
      </c>
      <c r="Q214" s="501">
        <v>2576.88</v>
      </c>
      <c r="R214" s="501">
        <v>2562.7399999999998</v>
      </c>
      <c r="S214" s="501">
        <v>2534.67</v>
      </c>
      <c r="T214" s="501">
        <v>2538.9699999999998</v>
      </c>
      <c r="U214" s="501">
        <v>2574.31</v>
      </c>
      <c r="V214" s="501">
        <v>2609.7199999999998</v>
      </c>
      <c r="W214" s="501">
        <v>2577.83</v>
      </c>
      <c r="X214" s="501">
        <v>2434.6999999999998</v>
      </c>
      <c r="Y214" s="501">
        <v>2272.4499999999998</v>
      </c>
      <c r="Z214" s="502"/>
    </row>
    <row r="215" spans="1:26">
      <c r="A215" s="500">
        <v>45067</v>
      </c>
      <c r="B215" s="501">
        <v>2248.67</v>
      </c>
      <c r="C215" s="501">
        <v>2120.04</v>
      </c>
      <c r="D215" s="501">
        <v>2009.52</v>
      </c>
      <c r="E215" s="501">
        <v>1935.42</v>
      </c>
      <c r="F215" s="501">
        <v>1931.82</v>
      </c>
      <c r="G215" s="501">
        <v>1903.68</v>
      </c>
      <c r="H215" s="501">
        <v>1987.07</v>
      </c>
      <c r="I215" s="501">
        <v>2212.92</v>
      </c>
      <c r="J215" s="501">
        <v>2380.7800000000002</v>
      </c>
      <c r="K215" s="501">
        <v>2497.15</v>
      </c>
      <c r="L215" s="501">
        <v>2532.37</v>
      </c>
      <c r="M215" s="501">
        <v>2540.7399999999998</v>
      </c>
      <c r="N215" s="501">
        <v>2535.5</v>
      </c>
      <c r="O215" s="501">
        <v>2527.6799999999998</v>
      </c>
      <c r="P215" s="501">
        <v>2530.63</v>
      </c>
      <c r="Q215" s="501">
        <v>2532.7199999999998</v>
      </c>
      <c r="R215" s="501">
        <v>2527.9</v>
      </c>
      <c r="S215" s="501">
        <v>2521.77</v>
      </c>
      <c r="T215" s="501">
        <v>2583.56</v>
      </c>
      <c r="U215" s="501">
        <v>2669.18</v>
      </c>
      <c r="V215" s="501">
        <v>2699.29</v>
      </c>
      <c r="W215" s="501">
        <v>2635.94</v>
      </c>
      <c r="X215" s="501">
        <v>2487.2199999999998</v>
      </c>
      <c r="Y215" s="501">
        <v>2316.58</v>
      </c>
      <c r="Z215" s="502"/>
    </row>
    <row r="216" spans="1:26">
      <c r="A216" s="500">
        <v>45068</v>
      </c>
      <c r="B216" s="501">
        <v>2129.81</v>
      </c>
      <c r="C216" s="501">
        <v>1991.88</v>
      </c>
      <c r="D216" s="501">
        <v>1931.01</v>
      </c>
      <c r="E216" s="501">
        <v>1926.61</v>
      </c>
      <c r="F216" s="501">
        <v>1929.4</v>
      </c>
      <c r="G216" s="501">
        <v>1992.6</v>
      </c>
      <c r="H216" s="501">
        <v>2246.3200000000002</v>
      </c>
      <c r="I216" s="501">
        <v>2491.87</v>
      </c>
      <c r="J216" s="501">
        <v>2718.43</v>
      </c>
      <c r="K216" s="501">
        <v>2764.07</v>
      </c>
      <c r="L216" s="501">
        <v>2745.83</v>
      </c>
      <c r="M216" s="501">
        <v>2744.7</v>
      </c>
      <c r="N216" s="501">
        <v>2700.37</v>
      </c>
      <c r="O216" s="501">
        <v>2729.31</v>
      </c>
      <c r="P216" s="501">
        <v>2709.61</v>
      </c>
      <c r="Q216" s="501">
        <v>2681.11</v>
      </c>
      <c r="R216" s="501">
        <v>2661.73</v>
      </c>
      <c r="S216" s="501">
        <v>2669.49</v>
      </c>
      <c r="T216" s="501">
        <v>2652.23</v>
      </c>
      <c r="U216" s="501">
        <v>2626.37</v>
      </c>
      <c r="V216" s="501">
        <v>2656.29</v>
      </c>
      <c r="W216" s="501">
        <v>2683.1</v>
      </c>
      <c r="X216" s="501">
        <v>2423.7800000000002</v>
      </c>
      <c r="Y216" s="501">
        <v>2250.79</v>
      </c>
      <c r="Z216" s="502"/>
    </row>
    <row r="217" spans="1:26">
      <c r="A217" s="500">
        <v>45069</v>
      </c>
      <c r="B217" s="501">
        <v>2147.6999999999998</v>
      </c>
      <c r="C217" s="501">
        <v>2004.74</v>
      </c>
      <c r="D217" s="501">
        <v>1920.16</v>
      </c>
      <c r="E217" s="501">
        <v>1892.69</v>
      </c>
      <c r="F217" s="501">
        <v>2054.94</v>
      </c>
      <c r="G217" s="501">
        <v>2214.3200000000002</v>
      </c>
      <c r="H217" s="501">
        <v>2307.19</v>
      </c>
      <c r="I217" s="501">
        <v>2494.42</v>
      </c>
      <c r="J217" s="501">
        <v>2674.83</v>
      </c>
      <c r="K217" s="501">
        <v>2716</v>
      </c>
      <c r="L217" s="501">
        <v>2659.89</v>
      </c>
      <c r="M217" s="501">
        <v>2726.15</v>
      </c>
      <c r="N217" s="501">
        <v>2732.63</v>
      </c>
      <c r="O217" s="501">
        <v>2746.43</v>
      </c>
      <c r="P217" s="501">
        <v>2711.1</v>
      </c>
      <c r="Q217" s="501">
        <v>2688.75</v>
      </c>
      <c r="R217" s="501">
        <v>2671.86</v>
      </c>
      <c r="S217" s="501">
        <v>2642.41</v>
      </c>
      <c r="T217" s="501">
        <v>2613.81</v>
      </c>
      <c r="U217" s="501">
        <v>2601.79</v>
      </c>
      <c r="V217" s="501">
        <v>2604.8000000000002</v>
      </c>
      <c r="W217" s="501">
        <v>2601.81</v>
      </c>
      <c r="X217" s="501">
        <v>2435.9899999999998</v>
      </c>
      <c r="Y217" s="501">
        <v>2204.36</v>
      </c>
      <c r="Z217" s="502"/>
    </row>
    <row r="218" spans="1:26">
      <c r="A218" s="500">
        <v>45070</v>
      </c>
      <c r="B218" s="501">
        <v>2168.08</v>
      </c>
      <c r="C218" s="501">
        <v>1970.45</v>
      </c>
      <c r="D218" s="501">
        <v>1939.24</v>
      </c>
      <c r="E218" s="501">
        <v>1904.41</v>
      </c>
      <c r="F218" s="501">
        <v>1926.3</v>
      </c>
      <c r="G218" s="501">
        <v>2121.19</v>
      </c>
      <c r="H218" s="501">
        <v>2447.2399999999998</v>
      </c>
      <c r="I218" s="501">
        <v>2615.27</v>
      </c>
      <c r="J218" s="501">
        <v>2713.1</v>
      </c>
      <c r="K218" s="501">
        <v>2727.78</v>
      </c>
      <c r="L218" s="501">
        <v>2718.55</v>
      </c>
      <c r="M218" s="501">
        <v>2708.88</v>
      </c>
      <c r="N218" s="501">
        <v>2704.7</v>
      </c>
      <c r="O218" s="501">
        <v>2710.29</v>
      </c>
      <c r="P218" s="501">
        <v>2705.27</v>
      </c>
      <c r="Q218" s="501">
        <v>2712.16</v>
      </c>
      <c r="R218" s="501">
        <v>2698.71</v>
      </c>
      <c r="S218" s="501">
        <v>2691.62</v>
      </c>
      <c r="T218" s="501">
        <v>2689.1</v>
      </c>
      <c r="U218" s="501">
        <v>2691.6</v>
      </c>
      <c r="V218" s="501">
        <v>2693.82</v>
      </c>
      <c r="W218" s="501">
        <v>2684.29</v>
      </c>
      <c r="X218" s="501">
        <v>2580.98</v>
      </c>
      <c r="Y218" s="501">
        <v>2282.61</v>
      </c>
      <c r="Z218" s="502"/>
    </row>
    <row r="219" spans="1:26">
      <c r="A219" s="500">
        <v>45071</v>
      </c>
      <c r="B219" s="501">
        <v>2007.93</v>
      </c>
      <c r="C219" s="501">
        <v>1907.45</v>
      </c>
      <c r="D219" s="501">
        <v>1852.78</v>
      </c>
      <c r="E219" s="501">
        <v>1813.83</v>
      </c>
      <c r="F219" s="501">
        <v>1826.92</v>
      </c>
      <c r="G219" s="501">
        <v>2011.08</v>
      </c>
      <c r="H219" s="501">
        <v>2409.6999999999998</v>
      </c>
      <c r="I219" s="501">
        <v>2569.14</v>
      </c>
      <c r="J219" s="501">
        <v>2738.11</v>
      </c>
      <c r="K219" s="501">
        <v>2735.87</v>
      </c>
      <c r="L219" s="501">
        <v>2730.5</v>
      </c>
      <c r="M219" s="501">
        <v>2726.19</v>
      </c>
      <c r="N219" s="501">
        <v>2728.61</v>
      </c>
      <c r="O219" s="501">
        <v>2727.25</v>
      </c>
      <c r="P219" s="501">
        <v>2745.47</v>
      </c>
      <c r="Q219" s="501">
        <v>2743.15</v>
      </c>
      <c r="R219" s="501">
        <v>2721.98</v>
      </c>
      <c r="S219" s="501">
        <v>2718.51</v>
      </c>
      <c r="T219" s="501">
        <v>2715.99</v>
      </c>
      <c r="U219" s="501">
        <v>2720.18</v>
      </c>
      <c r="V219" s="501">
        <v>2723.8</v>
      </c>
      <c r="W219" s="501">
        <v>2708.64</v>
      </c>
      <c r="X219" s="501">
        <v>2605.92</v>
      </c>
      <c r="Y219" s="501">
        <v>2217.63</v>
      </c>
      <c r="Z219" s="502"/>
    </row>
    <row r="220" spans="1:26">
      <c r="A220" s="500">
        <v>45072</v>
      </c>
      <c r="B220" s="501">
        <v>2102.27</v>
      </c>
      <c r="C220" s="501">
        <v>1972.09</v>
      </c>
      <c r="D220" s="501">
        <v>1915.08</v>
      </c>
      <c r="E220" s="501">
        <v>1878.83</v>
      </c>
      <c r="F220" s="501">
        <v>1914.94</v>
      </c>
      <c r="G220" s="501">
        <v>2036.48</v>
      </c>
      <c r="H220" s="501">
        <v>2451.92</v>
      </c>
      <c r="I220" s="501">
        <v>2620.11</v>
      </c>
      <c r="J220" s="501">
        <v>2821.22</v>
      </c>
      <c r="K220" s="501">
        <v>2825.87</v>
      </c>
      <c r="L220" s="501">
        <v>2823.75</v>
      </c>
      <c r="M220" s="501">
        <v>2819.89</v>
      </c>
      <c r="N220" s="501">
        <v>2822.24</v>
      </c>
      <c r="O220" s="501">
        <v>2822.42</v>
      </c>
      <c r="P220" s="501">
        <v>2835.87</v>
      </c>
      <c r="Q220" s="501">
        <v>2830.45</v>
      </c>
      <c r="R220" s="501">
        <v>2807.25</v>
      </c>
      <c r="S220" s="501">
        <v>2802.2</v>
      </c>
      <c r="T220" s="501">
        <v>2798.07</v>
      </c>
      <c r="U220" s="501">
        <v>2795.6</v>
      </c>
      <c r="V220" s="501">
        <v>2802.7</v>
      </c>
      <c r="W220" s="501">
        <v>2790.53</v>
      </c>
      <c r="X220" s="501">
        <v>2727.92</v>
      </c>
      <c r="Y220" s="501">
        <v>2457.5100000000002</v>
      </c>
      <c r="Z220" s="502"/>
    </row>
    <row r="221" spans="1:26">
      <c r="A221" s="500">
        <v>45073</v>
      </c>
      <c r="B221" s="501">
        <v>2395.46</v>
      </c>
      <c r="C221" s="501">
        <v>2160.7399999999998</v>
      </c>
      <c r="D221" s="501">
        <v>2024.14</v>
      </c>
      <c r="E221" s="501">
        <v>1985.18</v>
      </c>
      <c r="F221" s="501">
        <v>1969.03</v>
      </c>
      <c r="G221" s="501">
        <v>1956.3</v>
      </c>
      <c r="H221" s="501">
        <v>2288.86</v>
      </c>
      <c r="I221" s="501">
        <v>2451.14</v>
      </c>
      <c r="J221" s="501">
        <v>2697.9</v>
      </c>
      <c r="K221" s="501">
        <v>2749.78</v>
      </c>
      <c r="L221" s="501">
        <v>2749.14</v>
      </c>
      <c r="M221" s="501">
        <v>2748.56</v>
      </c>
      <c r="N221" s="501">
        <v>2747.13</v>
      </c>
      <c r="O221" s="501">
        <v>2742.12</v>
      </c>
      <c r="P221" s="501">
        <v>2734.57</v>
      </c>
      <c r="Q221" s="501">
        <v>2731.73</v>
      </c>
      <c r="R221" s="501">
        <v>2732.79</v>
      </c>
      <c r="S221" s="501">
        <v>2708.41</v>
      </c>
      <c r="T221" s="501">
        <v>2705.37</v>
      </c>
      <c r="U221" s="501">
        <v>2710.28</v>
      </c>
      <c r="V221" s="501">
        <v>2742.1</v>
      </c>
      <c r="W221" s="501">
        <v>2733.42</v>
      </c>
      <c r="X221" s="501">
        <v>2670.59</v>
      </c>
      <c r="Y221" s="501">
        <v>2357.75</v>
      </c>
      <c r="Z221" s="502"/>
    </row>
    <row r="222" spans="1:26">
      <c r="A222" s="500">
        <v>45074</v>
      </c>
      <c r="B222" s="501">
        <v>2269.8000000000002</v>
      </c>
      <c r="C222" s="501">
        <v>2108.87</v>
      </c>
      <c r="D222" s="501">
        <v>1994.01</v>
      </c>
      <c r="E222" s="501">
        <v>1966.27</v>
      </c>
      <c r="F222" s="501">
        <v>1944.47</v>
      </c>
      <c r="G222" s="501">
        <v>1933.84</v>
      </c>
      <c r="H222" s="501">
        <v>2148.3200000000002</v>
      </c>
      <c r="I222" s="501">
        <v>2304.37</v>
      </c>
      <c r="J222" s="501">
        <v>2553.9699999999998</v>
      </c>
      <c r="K222" s="501">
        <v>2692.09</v>
      </c>
      <c r="L222" s="501">
        <v>2697.34</v>
      </c>
      <c r="M222" s="501">
        <v>2695.75</v>
      </c>
      <c r="N222" s="501">
        <v>2695.47</v>
      </c>
      <c r="O222" s="501">
        <v>2695.58</v>
      </c>
      <c r="P222" s="501">
        <v>2695.29</v>
      </c>
      <c r="Q222" s="501">
        <v>2696.32</v>
      </c>
      <c r="R222" s="501">
        <v>2702.76</v>
      </c>
      <c r="S222" s="501">
        <v>2705.33</v>
      </c>
      <c r="T222" s="501">
        <v>2703.42</v>
      </c>
      <c r="U222" s="501">
        <v>2700.3</v>
      </c>
      <c r="V222" s="501">
        <v>2712.24</v>
      </c>
      <c r="W222" s="501">
        <v>2702.76</v>
      </c>
      <c r="X222" s="501">
        <v>2624.97</v>
      </c>
      <c r="Y222" s="501">
        <v>2340.21</v>
      </c>
      <c r="Z222" s="502"/>
    </row>
    <row r="223" spans="1:26">
      <c r="A223" s="500">
        <v>45075</v>
      </c>
      <c r="B223" s="501">
        <v>2195.33</v>
      </c>
      <c r="C223" s="501">
        <v>2040.03</v>
      </c>
      <c r="D223" s="501">
        <v>1955.06</v>
      </c>
      <c r="E223" s="501">
        <v>1919.37</v>
      </c>
      <c r="F223" s="501">
        <v>1941.27</v>
      </c>
      <c r="G223" s="501">
        <v>2025.68</v>
      </c>
      <c r="H223" s="501">
        <v>2459.84</v>
      </c>
      <c r="I223" s="501">
        <v>2685.95</v>
      </c>
      <c r="J223" s="501">
        <v>2773.32</v>
      </c>
      <c r="K223" s="501">
        <v>2774.92</v>
      </c>
      <c r="L223" s="501">
        <v>2771.84</v>
      </c>
      <c r="M223" s="501">
        <v>2770.71</v>
      </c>
      <c r="N223" s="501">
        <v>2772.58</v>
      </c>
      <c r="O223" s="501">
        <v>2770.57</v>
      </c>
      <c r="P223" s="501">
        <v>2768.07</v>
      </c>
      <c r="Q223" s="501">
        <v>2762.23</v>
      </c>
      <c r="R223" s="501">
        <v>2757.46</v>
      </c>
      <c r="S223" s="501">
        <v>2756.12</v>
      </c>
      <c r="T223" s="501">
        <v>2751.45</v>
      </c>
      <c r="U223" s="501">
        <v>2752.51</v>
      </c>
      <c r="V223" s="501">
        <v>2753.07</v>
      </c>
      <c r="W223" s="501">
        <v>2744.43</v>
      </c>
      <c r="X223" s="501">
        <v>2698.17</v>
      </c>
      <c r="Y223" s="501">
        <v>2311.6999999999998</v>
      </c>
      <c r="Z223" s="502"/>
    </row>
    <row r="224" spans="1:26">
      <c r="A224" s="500">
        <v>45076</v>
      </c>
      <c r="B224" s="501">
        <v>2121.25</v>
      </c>
      <c r="C224" s="501">
        <v>1985.61</v>
      </c>
      <c r="D224" s="501">
        <v>1960.49</v>
      </c>
      <c r="E224" s="501">
        <v>1937.12</v>
      </c>
      <c r="F224" s="501">
        <v>1962.29</v>
      </c>
      <c r="G224" s="501">
        <v>2126.84</v>
      </c>
      <c r="H224" s="501">
        <v>2461.8200000000002</v>
      </c>
      <c r="I224" s="501">
        <v>2700.73</v>
      </c>
      <c r="J224" s="501">
        <v>2815.08</v>
      </c>
      <c r="K224" s="501">
        <v>2816.99</v>
      </c>
      <c r="L224" s="501">
        <v>2815.27</v>
      </c>
      <c r="M224" s="501">
        <v>2811.48</v>
      </c>
      <c r="N224" s="501">
        <v>2814.83</v>
      </c>
      <c r="O224" s="501">
        <v>2814.17</v>
      </c>
      <c r="P224" s="501">
        <v>2811.81</v>
      </c>
      <c r="Q224" s="501">
        <v>2807.26</v>
      </c>
      <c r="R224" s="501">
        <v>2802.33</v>
      </c>
      <c r="S224" s="501">
        <v>2798.59</v>
      </c>
      <c r="T224" s="501">
        <v>2792.43</v>
      </c>
      <c r="U224" s="501">
        <v>2791.72</v>
      </c>
      <c r="V224" s="501">
        <v>2793.56</v>
      </c>
      <c r="W224" s="501">
        <v>2771.49</v>
      </c>
      <c r="X224" s="501">
        <v>2680.09</v>
      </c>
      <c r="Y224" s="501">
        <v>2339.4299999999998</v>
      </c>
      <c r="Z224" s="502"/>
    </row>
    <row r="225" spans="1:26">
      <c r="A225" s="500">
        <v>45077</v>
      </c>
      <c r="B225" s="501">
        <v>2073.2800000000002</v>
      </c>
      <c r="C225" s="501">
        <v>1947.72</v>
      </c>
      <c r="D225" s="501">
        <v>1887.22</v>
      </c>
      <c r="E225" s="501">
        <v>1853.54</v>
      </c>
      <c r="F225" s="501">
        <v>1849.54</v>
      </c>
      <c r="G225" s="501">
        <v>2014.53</v>
      </c>
      <c r="H225" s="501">
        <v>2415.69</v>
      </c>
      <c r="I225" s="501">
        <v>2653.45</v>
      </c>
      <c r="J225" s="501">
        <v>2839.33</v>
      </c>
      <c r="K225" s="501">
        <v>2839.5</v>
      </c>
      <c r="L225" s="501">
        <v>2837.05</v>
      </c>
      <c r="M225" s="501">
        <v>2833.26</v>
      </c>
      <c r="N225" s="501">
        <v>2836.64</v>
      </c>
      <c r="O225" s="501">
        <v>2833.31</v>
      </c>
      <c r="P225" s="501">
        <v>2824.16</v>
      </c>
      <c r="Q225" s="501">
        <v>2816.79</v>
      </c>
      <c r="R225" s="501">
        <v>2813.56</v>
      </c>
      <c r="S225" s="501">
        <v>2811.49</v>
      </c>
      <c r="T225" s="501">
        <v>2809.42</v>
      </c>
      <c r="U225" s="501">
        <v>2811.6</v>
      </c>
      <c r="V225" s="501">
        <v>2815.35</v>
      </c>
      <c r="W225" s="501">
        <v>2796.17</v>
      </c>
      <c r="X225" s="501">
        <v>2698.62</v>
      </c>
      <c r="Y225" s="501">
        <v>2395.75</v>
      </c>
      <c r="Z225" s="502"/>
    </row>
    <row r="226" spans="1:26">
      <c r="A226" s="503"/>
      <c r="B226" s="504"/>
      <c r="C226" s="489"/>
      <c r="D226" s="489"/>
      <c r="E226" s="489"/>
      <c r="F226" s="489"/>
      <c r="G226" s="489"/>
      <c r="H226" s="489"/>
      <c r="I226" s="489"/>
      <c r="J226" s="489"/>
      <c r="K226" s="491"/>
      <c r="L226" s="491"/>
      <c r="M226" s="491"/>
      <c r="N226" s="491"/>
      <c r="O226" s="491"/>
      <c r="P226" s="491"/>
      <c r="Q226" s="491"/>
      <c r="R226" s="491"/>
      <c r="S226" s="491"/>
      <c r="T226" s="491"/>
      <c r="U226" s="491"/>
      <c r="V226" s="491"/>
      <c r="W226" s="491"/>
      <c r="X226" s="491"/>
      <c r="Y226" s="491"/>
      <c r="Z226" s="505"/>
    </row>
    <row r="227" spans="1:26">
      <c r="A227" s="503"/>
      <c r="B227" s="504"/>
      <c r="C227" s="489"/>
      <c r="D227" s="489"/>
      <c r="E227" s="489"/>
      <c r="F227" s="489"/>
      <c r="G227" s="489"/>
      <c r="H227" s="489"/>
      <c r="I227" s="489"/>
      <c r="J227" s="489"/>
      <c r="K227" s="491"/>
      <c r="L227" s="491"/>
      <c r="M227" s="491"/>
      <c r="N227" s="491"/>
      <c r="O227" s="491"/>
      <c r="P227" s="491"/>
      <c r="Q227" s="491"/>
      <c r="R227" s="491"/>
      <c r="S227" s="491"/>
      <c r="T227" s="491"/>
      <c r="U227" s="491"/>
      <c r="V227" s="491"/>
      <c r="W227" s="491"/>
      <c r="X227" s="491"/>
      <c r="Y227" s="491"/>
      <c r="Z227" s="505"/>
    </row>
    <row r="228" spans="1:26" ht="16">
      <c r="A228" s="495" t="s">
        <v>711</v>
      </c>
      <c r="B228" s="866" t="s">
        <v>738</v>
      </c>
      <c r="C228" s="866"/>
      <c r="D228" s="866"/>
      <c r="E228" s="866"/>
      <c r="F228" s="866"/>
      <c r="G228" s="866"/>
      <c r="H228" s="866"/>
      <c r="I228" s="866"/>
      <c r="J228" s="866"/>
      <c r="K228" s="866"/>
      <c r="L228" s="866"/>
      <c r="M228" s="866"/>
      <c r="N228" s="866"/>
      <c r="O228" s="866"/>
      <c r="P228" s="866"/>
      <c r="Q228" s="866"/>
      <c r="R228" s="866"/>
      <c r="S228" s="866"/>
      <c r="T228" s="866"/>
      <c r="U228" s="866"/>
      <c r="V228" s="866"/>
      <c r="W228" s="866"/>
      <c r="X228" s="866"/>
      <c r="Y228" s="866"/>
      <c r="Z228" s="496"/>
    </row>
    <row r="229" spans="1:26" ht="17">
      <c r="A229" s="497" t="s">
        <v>280</v>
      </c>
      <c r="B229" s="498" t="s">
        <v>713</v>
      </c>
      <c r="C229" s="498" t="s">
        <v>714</v>
      </c>
      <c r="D229" s="498" t="s">
        <v>715</v>
      </c>
      <c r="E229" s="498" t="s">
        <v>716</v>
      </c>
      <c r="F229" s="498" t="s">
        <v>717</v>
      </c>
      <c r="G229" s="498" t="s">
        <v>718</v>
      </c>
      <c r="H229" s="498" t="s">
        <v>719</v>
      </c>
      <c r="I229" s="498" t="s">
        <v>720</v>
      </c>
      <c r="J229" s="498" t="s">
        <v>721</v>
      </c>
      <c r="K229" s="498" t="s">
        <v>722</v>
      </c>
      <c r="L229" s="498" t="s">
        <v>723</v>
      </c>
      <c r="M229" s="498" t="s">
        <v>724</v>
      </c>
      <c r="N229" s="498" t="s">
        <v>725</v>
      </c>
      <c r="O229" s="498" t="s">
        <v>726</v>
      </c>
      <c r="P229" s="498" t="s">
        <v>727</v>
      </c>
      <c r="Q229" s="498" t="s">
        <v>728</v>
      </c>
      <c r="R229" s="498" t="s">
        <v>729</v>
      </c>
      <c r="S229" s="498" t="s">
        <v>730</v>
      </c>
      <c r="T229" s="498" t="s">
        <v>731</v>
      </c>
      <c r="U229" s="498" t="s">
        <v>732</v>
      </c>
      <c r="V229" s="498" t="s">
        <v>733</v>
      </c>
      <c r="W229" s="498" t="s">
        <v>734</v>
      </c>
      <c r="X229" s="498" t="s">
        <v>735</v>
      </c>
      <c r="Y229" s="498" t="s">
        <v>736</v>
      </c>
      <c r="Z229" s="499"/>
    </row>
    <row r="230" spans="1:26">
      <c r="A230" s="500">
        <v>45047</v>
      </c>
      <c r="B230" s="501">
        <v>2469.14</v>
      </c>
      <c r="C230" s="501">
        <v>2367.88</v>
      </c>
      <c r="D230" s="501">
        <v>2302.75</v>
      </c>
      <c r="E230" s="501">
        <v>2246.5700000000002</v>
      </c>
      <c r="F230" s="501">
        <v>2231.5</v>
      </c>
      <c r="G230" s="501">
        <v>2255.6799999999998</v>
      </c>
      <c r="H230" s="501">
        <v>2310.25</v>
      </c>
      <c r="I230" s="501">
        <v>2444.04</v>
      </c>
      <c r="J230" s="501">
        <v>2665.58</v>
      </c>
      <c r="K230" s="501">
        <v>2802.69</v>
      </c>
      <c r="L230" s="501">
        <v>2808.93</v>
      </c>
      <c r="M230" s="501">
        <v>2795.14</v>
      </c>
      <c r="N230" s="501">
        <v>2778.49</v>
      </c>
      <c r="O230" s="501">
        <v>2768.99</v>
      </c>
      <c r="P230" s="501">
        <v>2747.08</v>
      </c>
      <c r="Q230" s="501">
        <v>2727.68</v>
      </c>
      <c r="R230" s="501">
        <v>2725.34</v>
      </c>
      <c r="S230" s="501">
        <v>2739.06</v>
      </c>
      <c r="T230" s="501">
        <v>2803.89</v>
      </c>
      <c r="U230" s="501">
        <v>2865.07</v>
      </c>
      <c r="V230" s="501">
        <v>2895.66</v>
      </c>
      <c r="W230" s="501">
        <v>2836.58</v>
      </c>
      <c r="X230" s="501">
        <v>2740.36</v>
      </c>
      <c r="Y230" s="501">
        <v>2541.52</v>
      </c>
      <c r="Z230" s="502"/>
    </row>
    <row r="231" spans="1:26">
      <c r="A231" s="500">
        <v>45048</v>
      </c>
      <c r="B231" s="501">
        <v>2303.75</v>
      </c>
      <c r="C231" s="501">
        <v>2158.4899999999998</v>
      </c>
      <c r="D231" s="501">
        <v>2085.6799999999998</v>
      </c>
      <c r="E231" s="501">
        <v>2091.08</v>
      </c>
      <c r="F231" s="501">
        <v>2129.91</v>
      </c>
      <c r="G231" s="501">
        <v>2260.04</v>
      </c>
      <c r="H231" s="501">
        <v>2462.9</v>
      </c>
      <c r="I231" s="501">
        <v>2692.05</v>
      </c>
      <c r="J231" s="501">
        <v>2823.63</v>
      </c>
      <c r="K231" s="501">
        <v>2827.32</v>
      </c>
      <c r="L231" s="501">
        <v>2803.66</v>
      </c>
      <c r="M231" s="501">
        <v>2820.51</v>
      </c>
      <c r="N231" s="501">
        <v>2837.49</v>
      </c>
      <c r="O231" s="501">
        <v>2839.49</v>
      </c>
      <c r="P231" s="501">
        <v>2808.77</v>
      </c>
      <c r="Q231" s="501">
        <v>2771.63</v>
      </c>
      <c r="R231" s="501">
        <v>2750.61</v>
      </c>
      <c r="S231" s="501">
        <v>2742.07</v>
      </c>
      <c r="T231" s="501">
        <v>2739.19</v>
      </c>
      <c r="U231" s="501">
        <v>2745.5</v>
      </c>
      <c r="V231" s="501">
        <v>2761.23</v>
      </c>
      <c r="W231" s="501">
        <v>2737.45</v>
      </c>
      <c r="X231" s="501">
        <v>2567.89</v>
      </c>
      <c r="Y231" s="501">
        <v>2316.61</v>
      </c>
      <c r="Z231" s="502"/>
    </row>
    <row r="232" spans="1:26">
      <c r="A232" s="500">
        <v>45049</v>
      </c>
      <c r="B232" s="501">
        <v>2182.83</v>
      </c>
      <c r="C232" s="501">
        <v>2065.35</v>
      </c>
      <c r="D232" s="501">
        <v>2053.36</v>
      </c>
      <c r="E232" s="501">
        <v>2062.6</v>
      </c>
      <c r="F232" s="501">
        <v>2096.25</v>
      </c>
      <c r="G232" s="501">
        <v>2216.33</v>
      </c>
      <c r="H232" s="501">
        <v>2401.1</v>
      </c>
      <c r="I232" s="501">
        <v>2600.2800000000002</v>
      </c>
      <c r="J232" s="501">
        <v>2753.32</v>
      </c>
      <c r="K232" s="501">
        <v>2802.53</v>
      </c>
      <c r="L232" s="501">
        <v>2799.49</v>
      </c>
      <c r="M232" s="501">
        <v>2785.19</v>
      </c>
      <c r="N232" s="501">
        <v>2789.54</v>
      </c>
      <c r="O232" s="501">
        <v>2795.87</v>
      </c>
      <c r="P232" s="501">
        <v>2782.78</v>
      </c>
      <c r="Q232" s="501">
        <v>2780.4</v>
      </c>
      <c r="R232" s="501">
        <v>2791.25</v>
      </c>
      <c r="S232" s="501">
        <v>2783.84</v>
      </c>
      <c r="T232" s="501">
        <v>2764.1</v>
      </c>
      <c r="U232" s="501">
        <v>2781.52</v>
      </c>
      <c r="V232" s="501">
        <v>2778.26</v>
      </c>
      <c r="W232" s="501">
        <v>2744.35</v>
      </c>
      <c r="X232" s="501">
        <v>2538.6799999999998</v>
      </c>
      <c r="Y232" s="501">
        <v>2343.34</v>
      </c>
      <c r="Z232" s="502"/>
    </row>
    <row r="233" spans="1:26">
      <c r="A233" s="500">
        <v>45050</v>
      </c>
      <c r="B233" s="501">
        <v>2141.15</v>
      </c>
      <c r="C233" s="501">
        <v>2052</v>
      </c>
      <c r="D233" s="501">
        <v>1997.29</v>
      </c>
      <c r="E233" s="501">
        <v>1991.02</v>
      </c>
      <c r="F233" s="501">
        <v>2051.0300000000002</v>
      </c>
      <c r="G233" s="501">
        <v>2133.14</v>
      </c>
      <c r="H233" s="501">
        <v>2337.2199999999998</v>
      </c>
      <c r="I233" s="501">
        <v>2549.39</v>
      </c>
      <c r="J233" s="501">
        <v>2618.91</v>
      </c>
      <c r="K233" s="501">
        <v>2693.86</v>
      </c>
      <c r="L233" s="501">
        <v>2728.34</v>
      </c>
      <c r="M233" s="501">
        <v>2726.52</v>
      </c>
      <c r="N233" s="501">
        <v>2730.47</v>
      </c>
      <c r="O233" s="501">
        <v>2731.74</v>
      </c>
      <c r="P233" s="501">
        <v>2718.71</v>
      </c>
      <c r="Q233" s="501">
        <v>2694.61</v>
      </c>
      <c r="R233" s="501">
        <v>2671.98</v>
      </c>
      <c r="S233" s="501">
        <v>2643.63</v>
      </c>
      <c r="T233" s="501">
        <v>2607.9499999999998</v>
      </c>
      <c r="U233" s="501">
        <v>2674.62</v>
      </c>
      <c r="V233" s="501">
        <v>2719.51</v>
      </c>
      <c r="W233" s="501">
        <v>2716.08</v>
      </c>
      <c r="X233" s="501">
        <v>2565.9</v>
      </c>
      <c r="Y233" s="501">
        <v>2366.13</v>
      </c>
      <c r="Z233" s="502"/>
    </row>
    <row r="234" spans="1:26">
      <c r="A234" s="500">
        <v>45051</v>
      </c>
      <c r="B234" s="501">
        <v>2321.8200000000002</v>
      </c>
      <c r="C234" s="501">
        <v>2168.66</v>
      </c>
      <c r="D234" s="501">
        <v>2109.17</v>
      </c>
      <c r="E234" s="501">
        <v>2095.6799999999998</v>
      </c>
      <c r="F234" s="501">
        <v>2156.5700000000002</v>
      </c>
      <c r="G234" s="501">
        <v>2294.0700000000002</v>
      </c>
      <c r="H234" s="501">
        <v>2417.1799999999998</v>
      </c>
      <c r="I234" s="501">
        <v>2605.38</v>
      </c>
      <c r="J234" s="501">
        <v>2747.94</v>
      </c>
      <c r="K234" s="501">
        <v>2788.22</v>
      </c>
      <c r="L234" s="501">
        <v>2816.34</v>
      </c>
      <c r="M234" s="501">
        <v>2843.46</v>
      </c>
      <c r="N234" s="501">
        <v>2831.02</v>
      </c>
      <c r="O234" s="501">
        <v>2846.93</v>
      </c>
      <c r="P234" s="501">
        <v>2827.97</v>
      </c>
      <c r="Q234" s="501">
        <v>2800.78</v>
      </c>
      <c r="R234" s="501">
        <v>2782.15</v>
      </c>
      <c r="S234" s="501">
        <v>2766.31</v>
      </c>
      <c r="T234" s="501">
        <v>2752.4</v>
      </c>
      <c r="U234" s="501">
        <v>2748.66</v>
      </c>
      <c r="V234" s="501">
        <v>2756.1</v>
      </c>
      <c r="W234" s="501">
        <v>2752.44</v>
      </c>
      <c r="X234" s="501">
        <v>2637.86</v>
      </c>
      <c r="Y234" s="501">
        <v>2464.2600000000002</v>
      </c>
      <c r="Z234" s="502"/>
    </row>
    <row r="235" spans="1:26">
      <c r="A235" s="500">
        <v>45052</v>
      </c>
      <c r="B235" s="501">
        <v>2416.9699999999998</v>
      </c>
      <c r="C235" s="501">
        <v>2362</v>
      </c>
      <c r="D235" s="501">
        <v>2274.04</v>
      </c>
      <c r="E235" s="501">
        <v>2170.0100000000002</v>
      </c>
      <c r="F235" s="501">
        <v>2175.88</v>
      </c>
      <c r="G235" s="501">
        <v>2280.34</v>
      </c>
      <c r="H235" s="501">
        <v>2344.2399999999998</v>
      </c>
      <c r="I235" s="501">
        <v>2440.02</v>
      </c>
      <c r="J235" s="501">
        <v>2696.81</v>
      </c>
      <c r="K235" s="501">
        <v>2794.95</v>
      </c>
      <c r="L235" s="501">
        <v>2835.91</v>
      </c>
      <c r="M235" s="501">
        <v>2811.79</v>
      </c>
      <c r="N235" s="501">
        <v>2778.77</v>
      </c>
      <c r="O235" s="501">
        <v>2772.03</v>
      </c>
      <c r="P235" s="501">
        <v>2763.02</v>
      </c>
      <c r="Q235" s="501">
        <v>2760.5</v>
      </c>
      <c r="R235" s="501">
        <v>2747.32</v>
      </c>
      <c r="S235" s="501">
        <v>2726.91</v>
      </c>
      <c r="T235" s="501">
        <v>2725.75</v>
      </c>
      <c r="U235" s="501">
        <v>2776.52</v>
      </c>
      <c r="V235" s="501">
        <v>2798.87</v>
      </c>
      <c r="W235" s="501">
        <v>2755.54</v>
      </c>
      <c r="X235" s="501">
        <v>2696.07</v>
      </c>
      <c r="Y235" s="501">
        <v>2489.12</v>
      </c>
      <c r="Z235" s="502"/>
    </row>
    <row r="236" spans="1:26">
      <c r="A236" s="500">
        <v>45053</v>
      </c>
      <c r="B236" s="501">
        <v>2385.59</v>
      </c>
      <c r="C236" s="501">
        <v>2265.31</v>
      </c>
      <c r="D236" s="501">
        <v>2160.13</v>
      </c>
      <c r="E236" s="501">
        <v>2115.0300000000002</v>
      </c>
      <c r="F236" s="501">
        <v>2102.92</v>
      </c>
      <c r="G236" s="501">
        <v>2078.83</v>
      </c>
      <c r="H236" s="501">
        <v>2204.8000000000002</v>
      </c>
      <c r="I236" s="501">
        <v>2294.0100000000002</v>
      </c>
      <c r="J236" s="501">
        <v>2427.5300000000002</v>
      </c>
      <c r="K236" s="501">
        <v>2534.75</v>
      </c>
      <c r="L236" s="501">
        <v>2552.34</v>
      </c>
      <c r="M236" s="501">
        <v>2553.5300000000002</v>
      </c>
      <c r="N236" s="501">
        <v>2548.36</v>
      </c>
      <c r="O236" s="501">
        <v>2540.5100000000002</v>
      </c>
      <c r="P236" s="501">
        <v>2534.1999999999998</v>
      </c>
      <c r="Q236" s="501">
        <v>2534.14</v>
      </c>
      <c r="R236" s="501">
        <v>2536.52</v>
      </c>
      <c r="S236" s="501">
        <v>2538.73</v>
      </c>
      <c r="T236" s="501">
        <v>2567.34</v>
      </c>
      <c r="U236" s="501">
        <v>2626.9</v>
      </c>
      <c r="V236" s="501">
        <v>2712.24</v>
      </c>
      <c r="W236" s="501">
        <v>2635.85</v>
      </c>
      <c r="X236" s="501">
        <v>2577.75</v>
      </c>
      <c r="Y236" s="501">
        <v>2395.52</v>
      </c>
      <c r="Z236" s="502"/>
    </row>
    <row r="237" spans="1:26">
      <c r="A237" s="500">
        <v>45054</v>
      </c>
      <c r="B237" s="501">
        <v>2379.23</v>
      </c>
      <c r="C237" s="501">
        <v>2293.52</v>
      </c>
      <c r="D237" s="501">
        <v>2190.58</v>
      </c>
      <c r="E237" s="501">
        <v>2035.67</v>
      </c>
      <c r="F237" s="501">
        <v>2025.81</v>
      </c>
      <c r="G237" s="501">
        <v>2046.53</v>
      </c>
      <c r="H237" s="501">
        <v>2246.92</v>
      </c>
      <c r="I237" s="501">
        <v>2357.16</v>
      </c>
      <c r="J237" s="501">
        <v>2535.17</v>
      </c>
      <c r="K237" s="501">
        <v>2689.22</v>
      </c>
      <c r="L237" s="501">
        <v>2713.42</v>
      </c>
      <c r="M237" s="501">
        <v>2713.02</v>
      </c>
      <c r="N237" s="501">
        <v>2702.74</v>
      </c>
      <c r="O237" s="501">
        <v>2698.08</v>
      </c>
      <c r="P237" s="501">
        <v>2694.56</v>
      </c>
      <c r="Q237" s="501">
        <v>2690.43</v>
      </c>
      <c r="R237" s="501">
        <v>2681.18</v>
      </c>
      <c r="S237" s="501">
        <v>2648.26</v>
      </c>
      <c r="T237" s="501">
        <v>2666.18</v>
      </c>
      <c r="U237" s="501">
        <v>2707.78</v>
      </c>
      <c r="V237" s="501">
        <v>2722.27</v>
      </c>
      <c r="W237" s="501">
        <v>2668.63</v>
      </c>
      <c r="X237" s="501">
        <v>2616.25</v>
      </c>
      <c r="Y237" s="501">
        <v>2462.65</v>
      </c>
      <c r="Z237" s="502"/>
    </row>
    <row r="238" spans="1:26">
      <c r="A238" s="500">
        <v>45055</v>
      </c>
      <c r="B238" s="501">
        <v>2415.0700000000002</v>
      </c>
      <c r="C238" s="501">
        <v>2327.4299999999998</v>
      </c>
      <c r="D238" s="501">
        <v>2278.21</v>
      </c>
      <c r="E238" s="501">
        <v>2243.46</v>
      </c>
      <c r="F238" s="501">
        <v>2219.8200000000002</v>
      </c>
      <c r="G238" s="501">
        <v>2223.36</v>
      </c>
      <c r="H238" s="501">
        <v>2266.6</v>
      </c>
      <c r="I238" s="501">
        <v>2359.66</v>
      </c>
      <c r="J238" s="501">
        <v>2574.37</v>
      </c>
      <c r="K238" s="501">
        <v>2656.71</v>
      </c>
      <c r="L238" s="501">
        <v>2702.83</v>
      </c>
      <c r="M238" s="501">
        <v>2683.37</v>
      </c>
      <c r="N238" s="501">
        <v>2676.61</v>
      </c>
      <c r="O238" s="501">
        <v>2673.27</v>
      </c>
      <c r="P238" s="501">
        <v>2669.04</v>
      </c>
      <c r="Q238" s="501">
        <v>2660.51</v>
      </c>
      <c r="R238" s="501">
        <v>2632.88</v>
      </c>
      <c r="S238" s="501">
        <v>2632.38</v>
      </c>
      <c r="T238" s="501">
        <v>2648.48</v>
      </c>
      <c r="U238" s="501">
        <v>2691.61</v>
      </c>
      <c r="V238" s="501">
        <v>2748.22</v>
      </c>
      <c r="W238" s="501">
        <v>2732.17</v>
      </c>
      <c r="X238" s="501">
        <v>2689.97</v>
      </c>
      <c r="Y238" s="501">
        <v>2515.44</v>
      </c>
      <c r="Z238" s="502"/>
    </row>
    <row r="239" spans="1:26">
      <c r="A239" s="500">
        <v>45056</v>
      </c>
      <c r="B239" s="501">
        <v>2491.9299999999998</v>
      </c>
      <c r="C239" s="501">
        <v>2344.04</v>
      </c>
      <c r="D239" s="501">
        <v>2280.04</v>
      </c>
      <c r="E239" s="501">
        <v>2245.61</v>
      </c>
      <c r="F239" s="501">
        <v>2278.62</v>
      </c>
      <c r="G239" s="501">
        <v>2357.23</v>
      </c>
      <c r="H239" s="501">
        <v>2542.37</v>
      </c>
      <c r="I239" s="501">
        <v>2776.46</v>
      </c>
      <c r="J239" s="501">
        <v>2827.17</v>
      </c>
      <c r="K239" s="501">
        <v>2830.47</v>
      </c>
      <c r="L239" s="501">
        <v>2821.52</v>
      </c>
      <c r="M239" s="501">
        <v>2855.62</v>
      </c>
      <c r="N239" s="501">
        <v>2862.76</v>
      </c>
      <c r="O239" s="501">
        <v>2869.62</v>
      </c>
      <c r="P239" s="501">
        <v>2854.27</v>
      </c>
      <c r="Q239" s="501">
        <v>2843.77</v>
      </c>
      <c r="R239" s="501">
        <v>2823.03</v>
      </c>
      <c r="S239" s="501">
        <v>2802.96</v>
      </c>
      <c r="T239" s="501">
        <v>2796.21</v>
      </c>
      <c r="U239" s="501">
        <v>2782.47</v>
      </c>
      <c r="V239" s="501">
        <v>2793.74</v>
      </c>
      <c r="W239" s="501">
        <v>2798.58</v>
      </c>
      <c r="X239" s="501">
        <v>2617.4299999999998</v>
      </c>
      <c r="Y239" s="501">
        <v>2511.63</v>
      </c>
      <c r="Z239" s="502"/>
    </row>
    <row r="240" spans="1:26">
      <c r="A240" s="500">
        <v>45057</v>
      </c>
      <c r="B240" s="501">
        <v>2196.9299999999998</v>
      </c>
      <c r="C240" s="501">
        <v>2079.1</v>
      </c>
      <c r="D240" s="501">
        <v>2042.76</v>
      </c>
      <c r="E240" s="501">
        <v>2009.9</v>
      </c>
      <c r="F240" s="501">
        <v>2040.65</v>
      </c>
      <c r="G240" s="501">
        <v>2142.84</v>
      </c>
      <c r="H240" s="501">
        <v>2701.93</v>
      </c>
      <c r="I240" s="501">
        <v>2717.08</v>
      </c>
      <c r="J240" s="501">
        <v>2809.72</v>
      </c>
      <c r="K240" s="501">
        <v>2812.65</v>
      </c>
      <c r="L240" s="501">
        <v>2767</v>
      </c>
      <c r="M240" s="501">
        <v>2812.12</v>
      </c>
      <c r="N240" s="501">
        <v>2821.16</v>
      </c>
      <c r="O240" s="501">
        <v>2809.03</v>
      </c>
      <c r="P240" s="501">
        <v>2782.67</v>
      </c>
      <c r="Q240" s="501">
        <v>2708.78</v>
      </c>
      <c r="R240" s="501">
        <v>2656.88</v>
      </c>
      <c r="S240" s="501">
        <v>2640.67</v>
      </c>
      <c r="T240" s="501">
        <v>2623.79</v>
      </c>
      <c r="U240" s="501">
        <v>2635.64</v>
      </c>
      <c r="V240" s="501">
        <v>2665.23</v>
      </c>
      <c r="W240" s="501">
        <v>2665.68</v>
      </c>
      <c r="X240" s="501">
        <v>2535</v>
      </c>
      <c r="Y240" s="501">
        <v>2292.02</v>
      </c>
      <c r="Z240" s="502"/>
    </row>
    <row r="241" spans="1:26">
      <c r="A241" s="500">
        <v>45058</v>
      </c>
      <c r="B241" s="501">
        <v>2180.7800000000002</v>
      </c>
      <c r="C241" s="501">
        <v>2064.83</v>
      </c>
      <c r="D241" s="501">
        <v>2009.82</v>
      </c>
      <c r="E241" s="501">
        <v>1972.19</v>
      </c>
      <c r="F241" s="501">
        <v>2060.61</v>
      </c>
      <c r="G241" s="501">
        <v>2437.69</v>
      </c>
      <c r="H241" s="501">
        <v>2873.07</v>
      </c>
      <c r="I241" s="501">
        <v>2912.29</v>
      </c>
      <c r="J241" s="501">
        <v>2932</v>
      </c>
      <c r="K241" s="501">
        <v>2935.4</v>
      </c>
      <c r="L241" s="501">
        <v>2930.78</v>
      </c>
      <c r="M241" s="501">
        <v>2920.89</v>
      </c>
      <c r="N241" s="501">
        <v>2925.84</v>
      </c>
      <c r="O241" s="501">
        <v>2923.09</v>
      </c>
      <c r="P241" s="501">
        <v>3008.01</v>
      </c>
      <c r="Q241" s="501">
        <v>3011.28</v>
      </c>
      <c r="R241" s="501">
        <v>2826.96</v>
      </c>
      <c r="S241" s="501">
        <v>2824.25</v>
      </c>
      <c r="T241" s="501">
        <v>2811.14</v>
      </c>
      <c r="U241" s="501">
        <v>2810.35</v>
      </c>
      <c r="V241" s="501">
        <v>2821.35</v>
      </c>
      <c r="W241" s="501">
        <v>2784.37</v>
      </c>
      <c r="X241" s="501">
        <v>2626.84</v>
      </c>
      <c r="Y241" s="501">
        <v>2523.0100000000002</v>
      </c>
      <c r="Z241" s="502"/>
    </row>
    <row r="242" spans="1:26">
      <c r="A242" s="500">
        <v>45059</v>
      </c>
      <c r="B242" s="501">
        <v>2468.0500000000002</v>
      </c>
      <c r="C242" s="501">
        <v>2243.19</v>
      </c>
      <c r="D242" s="501">
        <v>2114.1799999999998</v>
      </c>
      <c r="E242" s="501">
        <v>2088.36</v>
      </c>
      <c r="F242" s="501">
        <v>2087.69</v>
      </c>
      <c r="G242" s="501">
        <v>2115.4299999999998</v>
      </c>
      <c r="H242" s="501">
        <v>2283.11</v>
      </c>
      <c r="I242" s="501">
        <v>2449.09</v>
      </c>
      <c r="J242" s="501">
        <v>2619.6999999999998</v>
      </c>
      <c r="K242" s="501">
        <v>2818.71</v>
      </c>
      <c r="L242" s="501">
        <v>2827.02</v>
      </c>
      <c r="M242" s="501">
        <v>2827.19</v>
      </c>
      <c r="N242" s="501">
        <v>2818.48</v>
      </c>
      <c r="O242" s="501">
        <v>2808.6</v>
      </c>
      <c r="P242" s="501">
        <v>2805.56</v>
      </c>
      <c r="Q242" s="501">
        <v>2790.04</v>
      </c>
      <c r="R242" s="501">
        <v>2747.72</v>
      </c>
      <c r="S242" s="501">
        <v>2701.63</v>
      </c>
      <c r="T242" s="501">
        <v>2697.88</v>
      </c>
      <c r="U242" s="501">
        <v>2738.99</v>
      </c>
      <c r="V242" s="501">
        <v>2757.8</v>
      </c>
      <c r="W242" s="501">
        <v>2717.38</v>
      </c>
      <c r="X242" s="501">
        <v>2653.49</v>
      </c>
      <c r="Y242" s="501">
        <v>2495.5700000000002</v>
      </c>
      <c r="Z242" s="502"/>
    </row>
    <row r="243" spans="1:26">
      <c r="A243" s="500">
        <v>45060</v>
      </c>
      <c r="B243" s="501">
        <v>2319.89</v>
      </c>
      <c r="C243" s="501">
        <v>2143.6</v>
      </c>
      <c r="D243" s="501">
        <v>2072.14</v>
      </c>
      <c r="E243" s="501">
        <v>2056.44</v>
      </c>
      <c r="F243" s="501">
        <v>2048.4499999999998</v>
      </c>
      <c r="G243" s="501">
        <v>1986.15</v>
      </c>
      <c r="H243" s="501">
        <v>1984.23</v>
      </c>
      <c r="I243" s="501">
        <v>2185.6799999999998</v>
      </c>
      <c r="J243" s="501">
        <v>2431.6799999999998</v>
      </c>
      <c r="K243" s="501">
        <v>2550.81</v>
      </c>
      <c r="L243" s="501">
        <v>2578.42</v>
      </c>
      <c r="M243" s="501">
        <v>2581.85</v>
      </c>
      <c r="N243" s="501">
        <v>2577.4299999999998</v>
      </c>
      <c r="O243" s="501">
        <v>2574.25</v>
      </c>
      <c r="P243" s="501">
        <v>2570.17</v>
      </c>
      <c r="Q243" s="501">
        <v>2574.58</v>
      </c>
      <c r="R243" s="501">
        <v>2575.42</v>
      </c>
      <c r="S243" s="501">
        <v>2553.3000000000002</v>
      </c>
      <c r="T243" s="501">
        <v>2583.35</v>
      </c>
      <c r="U243" s="501">
        <v>2653.68</v>
      </c>
      <c r="V243" s="501">
        <v>2695.87</v>
      </c>
      <c r="W243" s="501">
        <v>2654.13</v>
      </c>
      <c r="X243" s="501">
        <v>2589.66</v>
      </c>
      <c r="Y243" s="501">
        <v>2452.44</v>
      </c>
      <c r="Z243" s="502"/>
    </row>
    <row r="244" spans="1:26">
      <c r="A244" s="500">
        <v>45061</v>
      </c>
      <c r="B244" s="501">
        <v>2283.91</v>
      </c>
      <c r="C244" s="501">
        <v>2115.4299999999998</v>
      </c>
      <c r="D244" s="501">
        <v>2064.38</v>
      </c>
      <c r="E244" s="501">
        <v>2045.21</v>
      </c>
      <c r="F244" s="501">
        <v>2090.46</v>
      </c>
      <c r="G244" s="501">
        <v>2184.79</v>
      </c>
      <c r="H244" s="501">
        <v>2426.0500000000002</v>
      </c>
      <c r="I244" s="501">
        <v>2623.27</v>
      </c>
      <c r="J244" s="501">
        <v>2865.97</v>
      </c>
      <c r="K244" s="501">
        <v>2899.02</v>
      </c>
      <c r="L244" s="501">
        <v>2878.99</v>
      </c>
      <c r="M244" s="501">
        <v>2890.17</v>
      </c>
      <c r="N244" s="501">
        <v>2889.58</v>
      </c>
      <c r="O244" s="501">
        <v>2910.12</v>
      </c>
      <c r="P244" s="501">
        <v>2866.28</v>
      </c>
      <c r="Q244" s="501">
        <v>2840.26</v>
      </c>
      <c r="R244" s="501">
        <v>2821.64</v>
      </c>
      <c r="S244" s="501">
        <v>2793.92</v>
      </c>
      <c r="T244" s="501">
        <v>2766.49</v>
      </c>
      <c r="U244" s="501">
        <v>2762.41</v>
      </c>
      <c r="V244" s="501">
        <v>2790.03</v>
      </c>
      <c r="W244" s="501">
        <v>2800.73</v>
      </c>
      <c r="X244" s="501">
        <v>2603.23</v>
      </c>
      <c r="Y244" s="501">
        <v>2473.4299999999998</v>
      </c>
      <c r="Z244" s="502"/>
    </row>
    <row r="245" spans="1:26">
      <c r="A245" s="500">
        <v>45062</v>
      </c>
      <c r="B245" s="501">
        <v>2230.8200000000002</v>
      </c>
      <c r="C245" s="501">
        <v>2155.7199999999998</v>
      </c>
      <c r="D245" s="501">
        <v>2084.12</v>
      </c>
      <c r="E245" s="501">
        <v>2073.52</v>
      </c>
      <c r="F245" s="501">
        <v>2111.0300000000002</v>
      </c>
      <c r="G245" s="501">
        <v>2270.48</v>
      </c>
      <c r="H245" s="501">
        <v>2459.91</v>
      </c>
      <c r="I245" s="501">
        <v>2617.34</v>
      </c>
      <c r="J245" s="501">
        <v>2830.28</v>
      </c>
      <c r="K245" s="501">
        <v>2853.82</v>
      </c>
      <c r="L245" s="501">
        <v>2836.19</v>
      </c>
      <c r="M245" s="501">
        <v>2831.91</v>
      </c>
      <c r="N245" s="501">
        <v>2822.83</v>
      </c>
      <c r="O245" s="501">
        <v>2851.39</v>
      </c>
      <c r="P245" s="501">
        <v>2823.84</v>
      </c>
      <c r="Q245" s="501">
        <v>2738.07</v>
      </c>
      <c r="R245" s="501">
        <v>2681.98</v>
      </c>
      <c r="S245" s="501">
        <v>2662.83</v>
      </c>
      <c r="T245" s="501">
        <v>2639.53</v>
      </c>
      <c r="U245" s="501">
        <v>2653.21</v>
      </c>
      <c r="V245" s="501">
        <v>2716.32</v>
      </c>
      <c r="W245" s="501">
        <v>2772.75</v>
      </c>
      <c r="X245" s="501">
        <v>2570.4499999999998</v>
      </c>
      <c r="Y245" s="501">
        <v>2387.02</v>
      </c>
      <c r="Z245" s="502"/>
    </row>
    <row r="246" spans="1:26">
      <c r="A246" s="500">
        <v>45063</v>
      </c>
      <c r="B246" s="501">
        <v>2153.83</v>
      </c>
      <c r="C246" s="501">
        <v>2072.0700000000002</v>
      </c>
      <c r="D246" s="501">
        <v>2013.01</v>
      </c>
      <c r="E246" s="501">
        <v>1971.29</v>
      </c>
      <c r="F246" s="501">
        <v>2014.74</v>
      </c>
      <c r="G246" s="501">
        <v>2142.31</v>
      </c>
      <c r="H246" s="501">
        <v>2411.15</v>
      </c>
      <c r="I246" s="501">
        <v>2585.98</v>
      </c>
      <c r="J246" s="501">
        <v>2777.64</v>
      </c>
      <c r="K246" s="501">
        <v>2840.38</v>
      </c>
      <c r="L246" s="501">
        <v>2802.13</v>
      </c>
      <c r="M246" s="501">
        <v>2837.41</v>
      </c>
      <c r="N246" s="501">
        <v>2826.23</v>
      </c>
      <c r="O246" s="501">
        <v>2838.9</v>
      </c>
      <c r="P246" s="501">
        <v>2783.59</v>
      </c>
      <c r="Q246" s="501">
        <v>2720.08</v>
      </c>
      <c r="R246" s="501">
        <v>2658.96</v>
      </c>
      <c r="S246" s="501">
        <v>2632.81</v>
      </c>
      <c r="T246" s="501">
        <v>2619.21</v>
      </c>
      <c r="U246" s="501">
        <v>2634.47</v>
      </c>
      <c r="V246" s="501">
        <v>2671.28</v>
      </c>
      <c r="W246" s="501">
        <v>2738.81</v>
      </c>
      <c r="X246" s="501">
        <v>2580.41</v>
      </c>
      <c r="Y246" s="501">
        <v>2335.91</v>
      </c>
      <c r="Z246" s="502"/>
    </row>
    <row r="247" spans="1:26">
      <c r="A247" s="500">
        <v>45064</v>
      </c>
      <c r="B247" s="501">
        <v>2201.96</v>
      </c>
      <c r="C247" s="501">
        <v>2120.9699999999998</v>
      </c>
      <c r="D247" s="501">
        <v>2024.35</v>
      </c>
      <c r="E247" s="501">
        <v>2007.9</v>
      </c>
      <c r="F247" s="501">
        <v>2084.86</v>
      </c>
      <c r="G247" s="501">
        <v>2191.04</v>
      </c>
      <c r="H247" s="501">
        <v>2386.9699999999998</v>
      </c>
      <c r="I247" s="501">
        <v>2585.89</v>
      </c>
      <c r="J247" s="501">
        <v>2776.08</v>
      </c>
      <c r="K247" s="501">
        <v>2815.58</v>
      </c>
      <c r="L247" s="501">
        <v>2793.24</v>
      </c>
      <c r="M247" s="501">
        <v>2800.43</v>
      </c>
      <c r="N247" s="501">
        <v>2796.64</v>
      </c>
      <c r="O247" s="501">
        <v>2811.74</v>
      </c>
      <c r="P247" s="501">
        <v>2798.81</v>
      </c>
      <c r="Q247" s="501">
        <v>2784.29</v>
      </c>
      <c r="R247" s="501">
        <v>2789.1</v>
      </c>
      <c r="S247" s="501">
        <v>2787.46</v>
      </c>
      <c r="T247" s="501">
        <v>2776.06</v>
      </c>
      <c r="U247" s="501">
        <v>2798.85</v>
      </c>
      <c r="V247" s="501">
        <v>2804.6</v>
      </c>
      <c r="W247" s="501">
        <v>2811.68</v>
      </c>
      <c r="X247" s="501">
        <v>2617.0500000000002</v>
      </c>
      <c r="Y247" s="501">
        <v>2455.77</v>
      </c>
      <c r="Z247" s="502"/>
    </row>
    <row r="248" spans="1:26">
      <c r="A248" s="500">
        <v>45065</v>
      </c>
      <c r="B248" s="501">
        <v>2197.3000000000002</v>
      </c>
      <c r="C248" s="501">
        <v>2062.42</v>
      </c>
      <c r="D248" s="501">
        <v>1981.82</v>
      </c>
      <c r="E248" s="501">
        <v>1948.18</v>
      </c>
      <c r="F248" s="501">
        <v>1978.28</v>
      </c>
      <c r="G248" s="501">
        <v>2248.25</v>
      </c>
      <c r="H248" s="501">
        <v>2428.46</v>
      </c>
      <c r="I248" s="501">
        <v>2687.1</v>
      </c>
      <c r="J248" s="501">
        <v>2875.16</v>
      </c>
      <c r="K248" s="501">
        <v>2925.25</v>
      </c>
      <c r="L248" s="501">
        <v>2912.77</v>
      </c>
      <c r="M248" s="501">
        <v>2927.93</v>
      </c>
      <c r="N248" s="501">
        <v>2928.37</v>
      </c>
      <c r="O248" s="501">
        <v>2930.88</v>
      </c>
      <c r="P248" s="501">
        <v>2917.21</v>
      </c>
      <c r="Q248" s="501">
        <v>2902.93</v>
      </c>
      <c r="R248" s="501">
        <v>2874.74</v>
      </c>
      <c r="S248" s="501">
        <v>2857.71</v>
      </c>
      <c r="T248" s="501">
        <v>2835.93</v>
      </c>
      <c r="U248" s="501">
        <v>2837.58</v>
      </c>
      <c r="V248" s="501">
        <v>2850.65</v>
      </c>
      <c r="W248" s="501">
        <v>2849.65</v>
      </c>
      <c r="X248" s="501">
        <v>2685.74</v>
      </c>
      <c r="Y248" s="501">
        <v>2482.4299999999998</v>
      </c>
      <c r="Z248" s="502"/>
    </row>
    <row r="249" spans="1:26">
      <c r="A249" s="500">
        <v>45066</v>
      </c>
      <c r="B249" s="501">
        <v>2477.9299999999998</v>
      </c>
      <c r="C249" s="501">
        <v>2363.0700000000002</v>
      </c>
      <c r="D249" s="501">
        <v>2291.12</v>
      </c>
      <c r="E249" s="501">
        <v>2190.4899999999998</v>
      </c>
      <c r="F249" s="501">
        <v>2187.7800000000002</v>
      </c>
      <c r="G249" s="501">
        <v>2249.11</v>
      </c>
      <c r="H249" s="501">
        <v>2355.69</v>
      </c>
      <c r="I249" s="501">
        <v>2535.09</v>
      </c>
      <c r="J249" s="501">
        <v>2736.2</v>
      </c>
      <c r="K249" s="501">
        <v>2868.17</v>
      </c>
      <c r="L249" s="501">
        <v>2906.15</v>
      </c>
      <c r="M249" s="501">
        <v>2888.63</v>
      </c>
      <c r="N249" s="501">
        <v>2814.63</v>
      </c>
      <c r="O249" s="501">
        <v>2789.79</v>
      </c>
      <c r="P249" s="501">
        <v>2777.43</v>
      </c>
      <c r="Q249" s="501">
        <v>2744.77</v>
      </c>
      <c r="R249" s="501">
        <v>2730.63</v>
      </c>
      <c r="S249" s="501">
        <v>2702.56</v>
      </c>
      <c r="T249" s="501">
        <v>2706.86</v>
      </c>
      <c r="U249" s="501">
        <v>2742.2</v>
      </c>
      <c r="V249" s="501">
        <v>2777.61</v>
      </c>
      <c r="W249" s="501">
        <v>2745.72</v>
      </c>
      <c r="X249" s="501">
        <v>2602.59</v>
      </c>
      <c r="Y249" s="501">
        <v>2440.34</v>
      </c>
      <c r="Z249" s="502"/>
    </row>
    <row r="250" spans="1:26">
      <c r="A250" s="500">
        <v>45067</v>
      </c>
      <c r="B250" s="501">
        <v>2416.56</v>
      </c>
      <c r="C250" s="501">
        <v>2287.9299999999998</v>
      </c>
      <c r="D250" s="501">
        <v>2177.41</v>
      </c>
      <c r="E250" s="501">
        <v>2103.31</v>
      </c>
      <c r="F250" s="501">
        <v>2099.71</v>
      </c>
      <c r="G250" s="501">
        <v>2071.5700000000002</v>
      </c>
      <c r="H250" s="501">
        <v>2154.96</v>
      </c>
      <c r="I250" s="501">
        <v>2380.81</v>
      </c>
      <c r="J250" s="501">
        <v>2548.67</v>
      </c>
      <c r="K250" s="501">
        <v>2665.04</v>
      </c>
      <c r="L250" s="501">
        <v>2700.26</v>
      </c>
      <c r="M250" s="501">
        <v>2708.63</v>
      </c>
      <c r="N250" s="501">
        <v>2703.39</v>
      </c>
      <c r="O250" s="501">
        <v>2695.57</v>
      </c>
      <c r="P250" s="501">
        <v>2698.52</v>
      </c>
      <c r="Q250" s="501">
        <v>2700.61</v>
      </c>
      <c r="R250" s="501">
        <v>2695.79</v>
      </c>
      <c r="S250" s="501">
        <v>2689.66</v>
      </c>
      <c r="T250" s="501">
        <v>2751.45</v>
      </c>
      <c r="U250" s="501">
        <v>2837.07</v>
      </c>
      <c r="V250" s="501">
        <v>2867.18</v>
      </c>
      <c r="W250" s="501">
        <v>2803.83</v>
      </c>
      <c r="X250" s="501">
        <v>2655.11</v>
      </c>
      <c r="Y250" s="501">
        <v>2484.4699999999998</v>
      </c>
      <c r="Z250" s="502"/>
    </row>
    <row r="251" spans="1:26">
      <c r="A251" s="500">
        <v>45068</v>
      </c>
      <c r="B251" s="501">
        <v>2297.6999999999998</v>
      </c>
      <c r="C251" s="501">
        <v>2159.77</v>
      </c>
      <c r="D251" s="501">
        <v>2098.9</v>
      </c>
      <c r="E251" s="501">
        <v>2094.5</v>
      </c>
      <c r="F251" s="501">
        <v>2097.29</v>
      </c>
      <c r="G251" s="501">
        <v>2160.4899999999998</v>
      </c>
      <c r="H251" s="501">
        <v>2414.21</v>
      </c>
      <c r="I251" s="501">
        <v>2659.76</v>
      </c>
      <c r="J251" s="501">
        <v>2886.32</v>
      </c>
      <c r="K251" s="501">
        <v>2931.96</v>
      </c>
      <c r="L251" s="501">
        <v>2913.72</v>
      </c>
      <c r="M251" s="501">
        <v>2912.59</v>
      </c>
      <c r="N251" s="501">
        <v>2868.26</v>
      </c>
      <c r="O251" s="501">
        <v>2897.2</v>
      </c>
      <c r="P251" s="501">
        <v>2877.5</v>
      </c>
      <c r="Q251" s="501">
        <v>2849</v>
      </c>
      <c r="R251" s="501">
        <v>2829.62</v>
      </c>
      <c r="S251" s="501">
        <v>2837.38</v>
      </c>
      <c r="T251" s="501">
        <v>2820.12</v>
      </c>
      <c r="U251" s="501">
        <v>2794.26</v>
      </c>
      <c r="V251" s="501">
        <v>2824.18</v>
      </c>
      <c r="W251" s="501">
        <v>2850.99</v>
      </c>
      <c r="X251" s="501">
        <v>2591.67</v>
      </c>
      <c r="Y251" s="501">
        <v>2418.6799999999998</v>
      </c>
      <c r="Z251" s="502"/>
    </row>
    <row r="252" spans="1:26">
      <c r="A252" s="500">
        <v>45069</v>
      </c>
      <c r="B252" s="501">
        <v>2315.59</v>
      </c>
      <c r="C252" s="501">
        <v>2172.63</v>
      </c>
      <c r="D252" s="501">
        <v>2088.0500000000002</v>
      </c>
      <c r="E252" s="501">
        <v>2060.58</v>
      </c>
      <c r="F252" s="501">
        <v>2222.83</v>
      </c>
      <c r="G252" s="501">
        <v>2382.21</v>
      </c>
      <c r="H252" s="501">
        <v>2475.08</v>
      </c>
      <c r="I252" s="501">
        <v>2662.31</v>
      </c>
      <c r="J252" s="501">
        <v>2842.72</v>
      </c>
      <c r="K252" s="501">
        <v>2883.89</v>
      </c>
      <c r="L252" s="501">
        <v>2827.78</v>
      </c>
      <c r="M252" s="501">
        <v>2894.04</v>
      </c>
      <c r="N252" s="501">
        <v>2900.52</v>
      </c>
      <c r="O252" s="501">
        <v>2914.32</v>
      </c>
      <c r="P252" s="501">
        <v>2878.99</v>
      </c>
      <c r="Q252" s="501">
        <v>2856.64</v>
      </c>
      <c r="R252" s="501">
        <v>2839.75</v>
      </c>
      <c r="S252" s="501">
        <v>2810.3</v>
      </c>
      <c r="T252" s="501">
        <v>2781.7</v>
      </c>
      <c r="U252" s="501">
        <v>2769.68</v>
      </c>
      <c r="V252" s="501">
        <v>2772.69</v>
      </c>
      <c r="W252" s="501">
        <v>2769.7</v>
      </c>
      <c r="X252" s="501">
        <v>2603.88</v>
      </c>
      <c r="Y252" s="501">
        <v>2372.25</v>
      </c>
      <c r="Z252" s="502"/>
    </row>
    <row r="253" spans="1:26">
      <c r="A253" s="500">
        <v>45070</v>
      </c>
      <c r="B253" s="501">
        <v>2335.9699999999998</v>
      </c>
      <c r="C253" s="501">
        <v>2138.34</v>
      </c>
      <c r="D253" s="501">
        <v>2107.13</v>
      </c>
      <c r="E253" s="501">
        <v>2072.3000000000002</v>
      </c>
      <c r="F253" s="501">
        <v>2094.19</v>
      </c>
      <c r="G253" s="501">
        <v>2289.08</v>
      </c>
      <c r="H253" s="501">
        <v>2615.13</v>
      </c>
      <c r="I253" s="501">
        <v>2783.16</v>
      </c>
      <c r="J253" s="501">
        <v>2880.99</v>
      </c>
      <c r="K253" s="501">
        <v>2895.67</v>
      </c>
      <c r="L253" s="501">
        <v>2886.44</v>
      </c>
      <c r="M253" s="501">
        <v>2876.77</v>
      </c>
      <c r="N253" s="501">
        <v>2872.59</v>
      </c>
      <c r="O253" s="501">
        <v>2878.18</v>
      </c>
      <c r="P253" s="501">
        <v>2873.16</v>
      </c>
      <c r="Q253" s="501">
        <v>2880.05</v>
      </c>
      <c r="R253" s="501">
        <v>2866.6</v>
      </c>
      <c r="S253" s="501">
        <v>2859.51</v>
      </c>
      <c r="T253" s="501">
        <v>2856.99</v>
      </c>
      <c r="U253" s="501">
        <v>2859.49</v>
      </c>
      <c r="V253" s="501">
        <v>2861.71</v>
      </c>
      <c r="W253" s="501">
        <v>2852.18</v>
      </c>
      <c r="X253" s="501">
        <v>2748.87</v>
      </c>
      <c r="Y253" s="501">
        <v>2450.5</v>
      </c>
      <c r="Z253" s="502"/>
    </row>
    <row r="254" spans="1:26">
      <c r="A254" s="500">
        <v>45071</v>
      </c>
      <c r="B254" s="501">
        <v>2175.8200000000002</v>
      </c>
      <c r="C254" s="501">
        <v>2075.34</v>
      </c>
      <c r="D254" s="501">
        <v>2020.67</v>
      </c>
      <c r="E254" s="501">
        <v>1981.72</v>
      </c>
      <c r="F254" s="501">
        <v>1994.81</v>
      </c>
      <c r="G254" s="501">
        <v>2178.9699999999998</v>
      </c>
      <c r="H254" s="501">
        <v>2577.59</v>
      </c>
      <c r="I254" s="501">
        <v>2737.03</v>
      </c>
      <c r="J254" s="501">
        <v>2906</v>
      </c>
      <c r="K254" s="501">
        <v>2903.76</v>
      </c>
      <c r="L254" s="501">
        <v>2898.39</v>
      </c>
      <c r="M254" s="501">
        <v>2894.08</v>
      </c>
      <c r="N254" s="501">
        <v>2896.5</v>
      </c>
      <c r="O254" s="501">
        <v>2895.14</v>
      </c>
      <c r="P254" s="501">
        <v>2913.36</v>
      </c>
      <c r="Q254" s="501">
        <v>2911.04</v>
      </c>
      <c r="R254" s="501">
        <v>2889.87</v>
      </c>
      <c r="S254" s="501">
        <v>2886.4</v>
      </c>
      <c r="T254" s="501">
        <v>2883.88</v>
      </c>
      <c r="U254" s="501">
        <v>2888.07</v>
      </c>
      <c r="V254" s="501">
        <v>2891.69</v>
      </c>
      <c r="W254" s="501">
        <v>2876.53</v>
      </c>
      <c r="X254" s="501">
        <v>2773.81</v>
      </c>
      <c r="Y254" s="501">
        <v>2385.52</v>
      </c>
      <c r="Z254" s="502"/>
    </row>
    <row r="255" spans="1:26">
      <c r="A255" s="500">
        <v>45072</v>
      </c>
      <c r="B255" s="501">
        <v>2270.16</v>
      </c>
      <c r="C255" s="501">
        <v>2139.98</v>
      </c>
      <c r="D255" s="501">
        <v>2082.9699999999998</v>
      </c>
      <c r="E255" s="501">
        <v>2046.72</v>
      </c>
      <c r="F255" s="501">
        <v>2082.83</v>
      </c>
      <c r="G255" s="501">
        <v>2204.37</v>
      </c>
      <c r="H255" s="501">
        <v>2619.81</v>
      </c>
      <c r="I255" s="501">
        <v>2788</v>
      </c>
      <c r="J255" s="501">
        <v>2989.11</v>
      </c>
      <c r="K255" s="501">
        <v>2993.76</v>
      </c>
      <c r="L255" s="501">
        <v>2991.64</v>
      </c>
      <c r="M255" s="501">
        <v>2987.78</v>
      </c>
      <c r="N255" s="501">
        <v>2990.13</v>
      </c>
      <c r="O255" s="501">
        <v>2990.31</v>
      </c>
      <c r="P255" s="501">
        <v>3003.76</v>
      </c>
      <c r="Q255" s="501">
        <v>2998.34</v>
      </c>
      <c r="R255" s="501">
        <v>2975.14</v>
      </c>
      <c r="S255" s="501">
        <v>2970.09</v>
      </c>
      <c r="T255" s="501">
        <v>2965.96</v>
      </c>
      <c r="U255" s="501">
        <v>2963.49</v>
      </c>
      <c r="V255" s="501">
        <v>2970.59</v>
      </c>
      <c r="W255" s="501">
        <v>2958.42</v>
      </c>
      <c r="X255" s="501">
        <v>2895.81</v>
      </c>
      <c r="Y255" s="501">
        <v>2625.4</v>
      </c>
      <c r="Z255" s="502"/>
    </row>
    <row r="256" spans="1:26">
      <c r="A256" s="500">
        <v>45073</v>
      </c>
      <c r="B256" s="501">
        <v>2563.35</v>
      </c>
      <c r="C256" s="501">
        <v>2328.63</v>
      </c>
      <c r="D256" s="501">
        <v>2192.0300000000002</v>
      </c>
      <c r="E256" s="501">
        <v>2153.0700000000002</v>
      </c>
      <c r="F256" s="501">
        <v>2136.92</v>
      </c>
      <c r="G256" s="501">
        <v>2124.19</v>
      </c>
      <c r="H256" s="501">
        <v>2456.75</v>
      </c>
      <c r="I256" s="501">
        <v>2619.0300000000002</v>
      </c>
      <c r="J256" s="501">
        <v>2865.79</v>
      </c>
      <c r="K256" s="501">
        <v>2917.67</v>
      </c>
      <c r="L256" s="501">
        <v>2917.03</v>
      </c>
      <c r="M256" s="501">
        <v>2916.45</v>
      </c>
      <c r="N256" s="501">
        <v>2915.02</v>
      </c>
      <c r="O256" s="501">
        <v>2910.01</v>
      </c>
      <c r="P256" s="501">
        <v>2902.46</v>
      </c>
      <c r="Q256" s="501">
        <v>2899.62</v>
      </c>
      <c r="R256" s="501">
        <v>2900.68</v>
      </c>
      <c r="S256" s="501">
        <v>2876.3</v>
      </c>
      <c r="T256" s="501">
        <v>2873.26</v>
      </c>
      <c r="U256" s="501">
        <v>2878.17</v>
      </c>
      <c r="V256" s="501">
        <v>2909.99</v>
      </c>
      <c r="W256" s="501">
        <v>2901.31</v>
      </c>
      <c r="X256" s="501">
        <v>2838.48</v>
      </c>
      <c r="Y256" s="501">
        <v>2525.64</v>
      </c>
      <c r="Z256" s="502"/>
    </row>
    <row r="257" spans="1:26">
      <c r="A257" s="500">
        <v>45074</v>
      </c>
      <c r="B257" s="501">
        <v>2437.69</v>
      </c>
      <c r="C257" s="501">
        <v>2276.7600000000002</v>
      </c>
      <c r="D257" s="501">
        <v>2161.9</v>
      </c>
      <c r="E257" s="501">
        <v>2134.16</v>
      </c>
      <c r="F257" s="501">
        <v>2112.36</v>
      </c>
      <c r="G257" s="501">
        <v>2101.73</v>
      </c>
      <c r="H257" s="501">
        <v>2316.21</v>
      </c>
      <c r="I257" s="501">
        <v>2472.2600000000002</v>
      </c>
      <c r="J257" s="501">
        <v>2721.86</v>
      </c>
      <c r="K257" s="501">
        <v>2859.98</v>
      </c>
      <c r="L257" s="501">
        <v>2865.23</v>
      </c>
      <c r="M257" s="501">
        <v>2863.64</v>
      </c>
      <c r="N257" s="501">
        <v>2863.36</v>
      </c>
      <c r="O257" s="501">
        <v>2863.47</v>
      </c>
      <c r="P257" s="501">
        <v>2863.18</v>
      </c>
      <c r="Q257" s="501">
        <v>2864.21</v>
      </c>
      <c r="R257" s="501">
        <v>2870.65</v>
      </c>
      <c r="S257" s="501">
        <v>2873.22</v>
      </c>
      <c r="T257" s="501">
        <v>2871.31</v>
      </c>
      <c r="U257" s="501">
        <v>2868.19</v>
      </c>
      <c r="V257" s="501">
        <v>2880.13</v>
      </c>
      <c r="W257" s="501">
        <v>2870.65</v>
      </c>
      <c r="X257" s="501">
        <v>2792.86</v>
      </c>
      <c r="Y257" s="501">
        <v>2508.1</v>
      </c>
      <c r="Z257" s="502"/>
    </row>
    <row r="258" spans="1:26">
      <c r="A258" s="500">
        <v>45075</v>
      </c>
      <c r="B258" s="501">
        <v>2363.2199999999998</v>
      </c>
      <c r="C258" s="501">
        <v>2207.92</v>
      </c>
      <c r="D258" s="501">
        <v>2122.9499999999998</v>
      </c>
      <c r="E258" s="501">
        <v>2087.2600000000002</v>
      </c>
      <c r="F258" s="501">
        <v>2109.16</v>
      </c>
      <c r="G258" s="501">
        <v>2193.5700000000002</v>
      </c>
      <c r="H258" s="501">
        <v>2627.73</v>
      </c>
      <c r="I258" s="501">
        <v>2853.84</v>
      </c>
      <c r="J258" s="501">
        <v>2941.21</v>
      </c>
      <c r="K258" s="501">
        <v>2942.81</v>
      </c>
      <c r="L258" s="501">
        <v>2939.73</v>
      </c>
      <c r="M258" s="501">
        <v>2938.6</v>
      </c>
      <c r="N258" s="501">
        <v>2940.47</v>
      </c>
      <c r="O258" s="501">
        <v>2938.46</v>
      </c>
      <c r="P258" s="501">
        <v>2935.96</v>
      </c>
      <c r="Q258" s="501">
        <v>2930.12</v>
      </c>
      <c r="R258" s="501">
        <v>2925.35</v>
      </c>
      <c r="S258" s="501">
        <v>2924.01</v>
      </c>
      <c r="T258" s="501">
        <v>2919.34</v>
      </c>
      <c r="U258" s="501">
        <v>2920.4</v>
      </c>
      <c r="V258" s="501">
        <v>2920.96</v>
      </c>
      <c r="W258" s="501">
        <v>2912.32</v>
      </c>
      <c r="X258" s="501">
        <v>2866.06</v>
      </c>
      <c r="Y258" s="501">
        <v>2479.59</v>
      </c>
      <c r="Z258" s="502"/>
    </row>
    <row r="259" spans="1:26">
      <c r="A259" s="500">
        <v>45076</v>
      </c>
      <c r="B259" s="501">
        <v>2289.14</v>
      </c>
      <c r="C259" s="501">
        <v>2153.5</v>
      </c>
      <c r="D259" s="501">
        <v>2128.38</v>
      </c>
      <c r="E259" s="501">
        <v>2105.0100000000002</v>
      </c>
      <c r="F259" s="501">
        <v>2130.1799999999998</v>
      </c>
      <c r="G259" s="501">
        <v>2294.73</v>
      </c>
      <c r="H259" s="501">
        <v>2629.71</v>
      </c>
      <c r="I259" s="501">
        <v>2868.62</v>
      </c>
      <c r="J259" s="501">
        <v>2982.97</v>
      </c>
      <c r="K259" s="501">
        <v>2984.88</v>
      </c>
      <c r="L259" s="501">
        <v>2983.16</v>
      </c>
      <c r="M259" s="501">
        <v>2979.37</v>
      </c>
      <c r="N259" s="501">
        <v>2982.72</v>
      </c>
      <c r="O259" s="501">
        <v>2982.06</v>
      </c>
      <c r="P259" s="501">
        <v>2979.7</v>
      </c>
      <c r="Q259" s="501">
        <v>2975.15</v>
      </c>
      <c r="R259" s="501">
        <v>2970.22</v>
      </c>
      <c r="S259" s="501">
        <v>2966.48</v>
      </c>
      <c r="T259" s="501">
        <v>2960.32</v>
      </c>
      <c r="U259" s="501">
        <v>2959.61</v>
      </c>
      <c r="V259" s="501">
        <v>2961.45</v>
      </c>
      <c r="W259" s="501">
        <v>2939.38</v>
      </c>
      <c r="X259" s="501">
        <v>2847.98</v>
      </c>
      <c r="Y259" s="501">
        <v>2507.3200000000002</v>
      </c>
      <c r="Z259" s="502"/>
    </row>
    <row r="260" spans="1:26">
      <c r="A260" s="500">
        <v>45077</v>
      </c>
      <c r="B260" s="501">
        <v>2241.17</v>
      </c>
      <c r="C260" s="501">
        <v>2115.61</v>
      </c>
      <c r="D260" s="501">
        <v>2055.11</v>
      </c>
      <c r="E260" s="501">
        <v>2021.43</v>
      </c>
      <c r="F260" s="501">
        <v>2017.43</v>
      </c>
      <c r="G260" s="501">
        <v>2182.42</v>
      </c>
      <c r="H260" s="501">
        <v>2583.58</v>
      </c>
      <c r="I260" s="501">
        <v>2821.34</v>
      </c>
      <c r="J260" s="501">
        <v>3007.22</v>
      </c>
      <c r="K260" s="501">
        <v>3007.39</v>
      </c>
      <c r="L260" s="501">
        <v>3004.94</v>
      </c>
      <c r="M260" s="501">
        <v>3001.15</v>
      </c>
      <c r="N260" s="501">
        <v>3004.53</v>
      </c>
      <c r="O260" s="501">
        <v>3001.2</v>
      </c>
      <c r="P260" s="501">
        <v>2992.05</v>
      </c>
      <c r="Q260" s="501">
        <v>2984.68</v>
      </c>
      <c r="R260" s="501">
        <v>2981.45</v>
      </c>
      <c r="S260" s="501">
        <v>2979.38</v>
      </c>
      <c r="T260" s="501">
        <v>2977.31</v>
      </c>
      <c r="U260" s="501">
        <v>2979.49</v>
      </c>
      <c r="V260" s="501">
        <v>2983.24</v>
      </c>
      <c r="W260" s="501">
        <v>2964.06</v>
      </c>
      <c r="X260" s="501">
        <v>2866.51</v>
      </c>
      <c r="Y260" s="501">
        <v>2563.64</v>
      </c>
      <c r="Z260" s="502"/>
    </row>
    <row r="262" spans="1:26" ht="16">
      <c r="A262" s="495" t="s">
        <v>711</v>
      </c>
      <c r="B262" s="866" t="s">
        <v>739</v>
      </c>
      <c r="C262" s="866"/>
      <c r="D262" s="866"/>
      <c r="E262" s="866"/>
      <c r="F262" s="866"/>
      <c r="G262" s="866"/>
      <c r="H262" s="866"/>
      <c r="I262" s="866"/>
      <c r="J262" s="866"/>
      <c r="K262" s="866"/>
      <c r="L262" s="866"/>
      <c r="M262" s="866"/>
      <c r="N262" s="866"/>
      <c r="O262" s="866"/>
      <c r="P262" s="866"/>
      <c r="Q262" s="866"/>
      <c r="R262" s="866"/>
      <c r="S262" s="866"/>
      <c r="T262" s="866"/>
      <c r="U262" s="866"/>
      <c r="V262" s="866"/>
      <c r="W262" s="866"/>
      <c r="X262" s="866"/>
      <c r="Y262" s="866"/>
      <c r="Z262" s="496"/>
    </row>
    <row r="263" spans="1:26" ht="17">
      <c r="A263" s="497" t="s">
        <v>280</v>
      </c>
      <c r="B263" s="498" t="s">
        <v>713</v>
      </c>
      <c r="C263" s="498" t="s">
        <v>714</v>
      </c>
      <c r="D263" s="498" t="s">
        <v>715</v>
      </c>
      <c r="E263" s="498" t="s">
        <v>716</v>
      </c>
      <c r="F263" s="498" t="s">
        <v>717</v>
      </c>
      <c r="G263" s="498" t="s">
        <v>718</v>
      </c>
      <c r="H263" s="498" t="s">
        <v>719</v>
      </c>
      <c r="I263" s="498" t="s">
        <v>720</v>
      </c>
      <c r="J263" s="498" t="s">
        <v>721</v>
      </c>
      <c r="K263" s="498" t="s">
        <v>722</v>
      </c>
      <c r="L263" s="498" t="s">
        <v>723</v>
      </c>
      <c r="M263" s="498" t="s">
        <v>724</v>
      </c>
      <c r="N263" s="498" t="s">
        <v>725</v>
      </c>
      <c r="O263" s="498" t="s">
        <v>726</v>
      </c>
      <c r="P263" s="498" t="s">
        <v>727</v>
      </c>
      <c r="Q263" s="498" t="s">
        <v>728</v>
      </c>
      <c r="R263" s="498" t="s">
        <v>729</v>
      </c>
      <c r="S263" s="498" t="s">
        <v>730</v>
      </c>
      <c r="T263" s="498" t="s">
        <v>731</v>
      </c>
      <c r="U263" s="498" t="s">
        <v>732</v>
      </c>
      <c r="V263" s="498" t="s">
        <v>733</v>
      </c>
      <c r="W263" s="498" t="s">
        <v>734</v>
      </c>
      <c r="X263" s="498" t="s">
        <v>735</v>
      </c>
      <c r="Y263" s="498" t="s">
        <v>736</v>
      </c>
      <c r="Z263" s="499"/>
    </row>
    <row r="264" spans="1:26">
      <c r="A264" s="500">
        <v>45047</v>
      </c>
      <c r="B264" s="501">
        <v>3055.95</v>
      </c>
      <c r="C264" s="501">
        <v>2954.69</v>
      </c>
      <c r="D264" s="501">
        <v>2889.56</v>
      </c>
      <c r="E264" s="501">
        <v>2833.38</v>
      </c>
      <c r="F264" s="501">
        <v>2818.31</v>
      </c>
      <c r="G264" s="501">
        <v>2842.49</v>
      </c>
      <c r="H264" s="501">
        <v>2897.06</v>
      </c>
      <c r="I264" s="501">
        <v>3030.85</v>
      </c>
      <c r="J264" s="501">
        <v>3252.39</v>
      </c>
      <c r="K264" s="501">
        <v>3389.5</v>
      </c>
      <c r="L264" s="501">
        <v>3395.74</v>
      </c>
      <c r="M264" s="501">
        <v>3381.95</v>
      </c>
      <c r="N264" s="501">
        <v>3365.3</v>
      </c>
      <c r="O264" s="501">
        <v>3355.8</v>
      </c>
      <c r="P264" s="501">
        <v>3333.89</v>
      </c>
      <c r="Q264" s="501">
        <v>3314.49</v>
      </c>
      <c r="R264" s="501">
        <v>3312.15</v>
      </c>
      <c r="S264" s="501">
        <v>3325.87</v>
      </c>
      <c r="T264" s="501">
        <v>3390.7</v>
      </c>
      <c r="U264" s="501">
        <v>3451.88</v>
      </c>
      <c r="V264" s="501">
        <v>3482.47</v>
      </c>
      <c r="W264" s="501">
        <v>3423.39</v>
      </c>
      <c r="X264" s="501">
        <v>3327.17</v>
      </c>
      <c r="Y264" s="501">
        <v>3128.33</v>
      </c>
      <c r="Z264" s="502"/>
    </row>
    <row r="265" spans="1:26">
      <c r="A265" s="500">
        <v>45048</v>
      </c>
      <c r="B265" s="501">
        <v>2890.56</v>
      </c>
      <c r="C265" s="501">
        <v>2745.3</v>
      </c>
      <c r="D265" s="501">
        <v>2672.49</v>
      </c>
      <c r="E265" s="501">
        <v>2677.89</v>
      </c>
      <c r="F265" s="501">
        <v>2716.72</v>
      </c>
      <c r="G265" s="501">
        <v>2846.85</v>
      </c>
      <c r="H265" s="501">
        <v>3049.71</v>
      </c>
      <c r="I265" s="501">
        <v>3278.86</v>
      </c>
      <c r="J265" s="501">
        <v>3410.44</v>
      </c>
      <c r="K265" s="501">
        <v>3414.13</v>
      </c>
      <c r="L265" s="501">
        <v>3390.47</v>
      </c>
      <c r="M265" s="501">
        <v>3407.32</v>
      </c>
      <c r="N265" s="501">
        <v>3424.3</v>
      </c>
      <c r="O265" s="501">
        <v>3426.3</v>
      </c>
      <c r="P265" s="501">
        <v>3395.58</v>
      </c>
      <c r="Q265" s="501">
        <v>3358.44</v>
      </c>
      <c r="R265" s="501">
        <v>3337.42</v>
      </c>
      <c r="S265" s="501">
        <v>3328.88</v>
      </c>
      <c r="T265" s="501">
        <v>3326</v>
      </c>
      <c r="U265" s="501">
        <v>3332.31</v>
      </c>
      <c r="V265" s="501">
        <v>3348.04</v>
      </c>
      <c r="W265" s="501">
        <v>3324.26</v>
      </c>
      <c r="X265" s="501">
        <v>3154.7</v>
      </c>
      <c r="Y265" s="501">
        <v>2903.42</v>
      </c>
      <c r="Z265" s="502"/>
    </row>
    <row r="266" spans="1:26">
      <c r="A266" s="500">
        <v>45049</v>
      </c>
      <c r="B266" s="501">
        <v>2769.64</v>
      </c>
      <c r="C266" s="501">
        <v>2652.16</v>
      </c>
      <c r="D266" s="501">
        <v>2640.17</v>
      </c>
      <c r="E266" s="501">
        <v>2649.41</v>
      </c>
      <c r="F266" s="501">
        <v>2683.06</v>
      </c>
      <c r="G266" s="501">
        <v>2803.14</v>
      </c>
      <c r="H266" s="501">
        <v>2987.91</v>
      </c>
      <c r="I266" s="501">
        <v>3187.09</v>
      </c>
      <c r="J266" s="501">
        <v>3340.13</v>
      </c>
      <c r="K266" s="501">
        <v>3389.34</v>
      </c>
      <c r="L266" s="501">
        <v>3386.3</v>
      </c>
      <c r="M266" s="501">
        <v>3372</v>
      </c>
      <c r="N266" s="501">
        <v>3376.35</v>
      </c>
      <c r="O266" s="501">
        <v>3382.68</v>
      </c>
      <c r="P266" s="501">
        <v>3369.59</v>
      </c>
      <c r="Q266" s="501">
        <v>3367.21</v>
      </c>
      <c r="R266" s="501">
        <v>3378.06</v>
      </c>
      <c r="S266" s="501">
        <v>3370.65</v>
      </c>
      <c r="T266" s="501">
        <v>3350.91</v>
      </c>
      <c r="U266" s="501">
        <v>3368.33</v>
      </c>
      <c r="V266" s="501">
        <v>3365.07</v>
      </c>
      <c r="W266" s="501">
        <v>3331.16</v>
      </c>
      <c r="X266" s="501">
        <v>3125.49</v>
      </c>
      <c r="Y266" s="501">
        <v>2930.15</v>
      </c>
      <c r="Z266" s="502"/>
    </row>
    <row r="267" spans="1:26">
      <c r="A267" s="500">
        <v>45050</v>
      </c>
      <c r="B267" s="501">
        <v>2727.96</v>
      </c>
      <c r="C267" s="501">
        <v>2638.81</v>
      </c>
      <c r="D267" s="501">
        <v>2584.1</v>
      </c>
      <c r="E267" s="501">
        <v>2577.83</v>
      </c>
      <c r="F267" s="501">
        <v>2637.84</v>
      </c>
      <c r="G267" s="501">
        <v>2719.95</v>
      </c>
      <c r="H267" s="501">
        <v>2924.03</v>
      </c>
      <c r="I267" s="501">
        <v>3136.2</v>
      </c>
      <c r="J267" s="501">
        <v>3205.72</v>
      </c>
      <c r="K267" s="501">
        <v>3280.67</v>
      </c>
      <c r="L267" s="501">
        <v>3315.15</v>
      </c>
      <c r="M267" s="501">
        <v>3313.33</v>
      </c>
      <c r="N267" s="501">
        <v>3317.28</v>
      </c>
      <c r="O267" s="501">
        <v>3318.55</v>
      </c>
      <c r="P267" s="501">
        <v>3305.52</v>
      </c>
      <c r="Q267" s="501">
        <v>3281.42</v>
      </c>
      <c r="R267" s="501">
        <v>3258.79</v>
      </c>
      <c r="S267" s="501">
        <v>3230.44</v>
      </c>
      <c r="T267" s="501">
        <v>3194.76</v>
      </c>
      <c r="U267" s="501">
        <v>3261.43</v>
      </c>
      <c r="V267" s="501">
        <v>3306.32</v>
      </c>
      <c r="W267" s="501">
        <v>3302.89</v>
      </c>
      <c r="X267" s="501">
        <v>3152.71</v>
      </c>
      <c r="Y267" s="501">
        <v>2952.94</v>
      </c>
      <c r="Z267" s="502"/>
    </row>
    <row r="268" spans="1:26">
      <c r="A268" s="500">
        <v>45051</v>
      </c>
      <c r="B268" s="501">
        <v>2908.63</v>
      </c>
      <c r="C268" s="501">
        <v>2755.47</v>
      </c>
      <c r="D268" s="501">
        <v>2695.98</v>
      </c>
      <c r="E268" s="501">
        <v>2682.49</v>
      </c>
      <c r="F268" s="501">
        <v>2743.38</v>
      </c>
      <c r="G268" s="501">
        <v>2880.88</v>
      </c>
      <c r="H268" s="501">
        <v>3003.99</v>
      </c>
      <c r="I268" s="501">
        <v>3192.19</v>
      </c>
      <c r="J268" s="501">
        <v>3334.75</v>
      </c>
      <c r="K268" s="501">
        <v>3375.03</v>
      </c>
      <c r="L268" s="501">
        <v>3403.15</v>
      </c>
      <c r="M268" s="501">
        <v>3430.27</v>
      </c>
      <c r="N268" s="501">
        <v>3417.83</v>
      </c>
      <c r="O268" s="501">
        <v>3433.74</v>
      </c>
      <c r="P268" s="501">
        <v>3414.78</v>
      </c>
      <c r="Q268" s="501">
        <v>3387.59</v>
      </c>
      <c r="R268" s="501">
        <v>3368.96</v>
      </c>
      <c r="S268" s="501">
        <v>3353.12</v>
      </c>
      <c r="T268" s="501">
        <v>3339.21</v>
      </c>
      <c r="U268" s="501">
        <v>3335.47</v>
      </c>
      <c r="V268" s="501">
        <v>3342.91</v>
      </c>
      <c r="W268" s="501">
        <v>3339.25</v>
      </c>
      <c r="X268" s="501">
        <v>3224.67</v>
      </c>
      <c r="Y268" s="501">
        <v>3051.07</v>
      </c>
      <c r="Z268" s="502"/>
    </row>
    <row r="269" spans="1:26">
      <c r="A269" s="500">
        <v>45052</v>
      </c>
      <c r="B269" s="501">
        <v>3003.78</v>
      </c>
      <c r="C269" s="501">
        <v>2948.81</v>
      </c>
      <c r="D269" s="501">
        <v>2860.85</v>
      </c>
      <c r="E269" s="501">
        <v>2756.82</v>
      </c>
      <c r="F269" s="501">
        <v>2762.69</v>
      </c>
      <c r="G269" s="501">
        <v>2867.15</v>
      </c>
      <c r="H269" s="501">
        <v>2931.05</v>
      </c>
      <c r="I269" s="501">
        <v>3026.83</v>
      </c>
      <c r="J269" s="501">
        <v>3283.62</v>
      </c>
      <c r="K269" s="501">
        <v>3381.76</v>
      </c>
      <c r="L269" s="501">
        <v>3422.72</v>
      </c>
      <c r="M269" s="501">
        <v>3398.6</v>
      </c>
      <c r="N269" s="501">
        <v>3365.58</v>
      </c>
      <c r="O269" s="501">
        <v>3358.84</v>
      </c>
      <c r="P269" s="501">
        <v>3349.83</v>
      </c>
      <c r="Q269" s="501">
        <v>3347.31</v>
      </c>
      <c r="R269" s="501">
        <v>3334.13</v>
      </c>
      <c r="S269" s="501">
        <v>3313.72</v>
      </c>
      <c r="T269" s="501">
        <v>3312.56</v>
      </c>
      <c r="U269" s="501">
        <v>3363.33</v>
      </c>
      <c r="V269" s="501">
        <v>3385.68</v>
      </c>
      <c r="W269" s="501">
        <v>3342.35</v>
      </c>
      <c r="X269" s="501">
        <v>3282.88</v>
      </c>
      <c r="Y269" s="501">
        <v>3075.93</v>
      </c>
      <c r="Z269" s="502"/>
    </row>
    <row r="270" spans="1:26">
      <c r="A270" s="500">
        <v>45053</v>
      </c>
      <c r="B270" s="501">
        <v>2972.4</v>
      </c>
      <c r="C270" s="501">
        <v>2852.12</v>
      </c>
      <c r="D270" s="501">
        <v>2746.94</v>
      </c>
      <c r="E270" s="501">
        <v>2701.84</v>
      </c>
      <c r="F270" s="501">
        <v>2689.73</v>
      </c>
      <c r="G270" s="501">
        <v>2665.64</v>
      </c>
      <c r="H270" s="501">
        <v>2791.61</v>
      </c>
      <c r="I270" s="501">
        <v>2880.82</v>
      </c>
      <c r="J270" s="501">
        <v>3014.34</v>
      </c>
      <c r="K270" s="501">
        <v>3121.56</v>
      </c>
      <c r="L270" s="501">
        <v>3139.15</v>
      </c>
      <c r="M270" s="501">
        <v>3140.34</v>
      </c>
      <c r="N270" s="501">
        <v>3135.17</v>
      </c>
      <c r="O270" s="501">
        <v>3127.32</v>
      </c>
      <c r="P270" s="501">
        <v>3121.01</v>
      </c>
      <c r="Q270" s="501">
        <v>3120.95</v>
      </c>
      <c r="R270" s="501">
        <v>3123.33</v>
      </c>
      <c r="S270" s="501">
        <v>3125.54</v>
      </c>
      <c r="T270" s="501">
        <v>3154.15</v>
      </c>
      <c r="U270" s="501">
        <v>3213.71</v>
      </c>
      <c r="V270" s="501">
        <v>3299.05</v>
      </c>
      <c r="W270" s="501">
        <v>3222.66</v>
      </c>
      <c r="X270" s="501">
        <v>3164.56</v>
      </c>
      <c r="Y270" s="501">
        <v>2982.33</v>
      </c>
      <c r="Z270" s="502"/>
    </row>
    <row r="271" spans="1:26">
      <c r="A271" s="500">
        <v>45054</v>
      </c>
      <c r="B271" s="501">
        <v>2966.04</v>
      </c>
      <c r="C271" s="501">
        <v>2880.33</v>
      </c>
      <c r="D271" s="501">
        <v>2777.39</v>
      </c>
      <c r="E271" s="501">
        <v>2622.48</v>
      </c>
      <c r="F271" s="501">
        <v>2612.62</v>
      </c>
      <c r="G271" s="501">
        <v>2633.34</v>
      </c>
      <c r="H271" s="501">
        <v>2833.73</v>
      </c>
      <c r="I271" s="501">
        <v>2943.97</v>
      </c>
      <c r="J271" s="501">
        <v>3121.98</v>
      </c>
      <c r="K271" s="501">
        <v>3276.03</v>
      </c>
      <c r="L271" s="501">
        <v>3300.23</v>
      </c>
      <c r="M271" s="501">
        <v>3299.83</v>
      </c>
      <c r="N271" s="501">
        <v>3289.55</v>
      </c>
      <c r="O271" s="501">
        <v>3284.89</v>
      </c>
      <c r="P271" s="501">
        <v>3281.37</v>
      </c>
      <c r="Q271" s="501">
        <v>3277.24</v>
      </c>
      <c r="R271" s="501">
        <v>3267.99</v>
      </c>
      <c r="S271" s="501">
        <v>3235.07</v>
      </c>
      <c r="T271" s="501">
        <v>3252.99</v>
      </c>
      <c r="U271" s="501">
        <v>3294.59</v>
      </c>
      <c r="V271" s="501">
        <v>3309.08</v>
      </c>
      <c r="W271" s="501">
        <v>3255.44</v>
      </c>
      <c r="X271" s="501">
        <v>3203.06</v>
      </c>
      <c r="Y271" s="501">
        <v>3049.46</v>
      </c>
      <c r="Z271" s="502"/>
    </row>
    <row r="272" spans="1:26">
      <c r="A272" s="500">
        <v>45055</v>
      </c>
      <c r="B272" s="501">
        <v>3001.88</v>
      </c>
      <c r="C272" s="501">
        <v>2914.24</v>
      </c>
      <c r="D272" s="501">
        <v>2865.02</v>
      </c>
      <c r="E272" s="501">
        <v>2830.27</v>
      </c>
      <c r="F272" s="501">
        <v>2806.63</v>
      </c>
      <c r="G272" s="501">
        <v>2810.17</v>
      </c>
      <c r="H272" s="501">
        <v>2853.41</v>
      </c>
      <c r="I272" s="501">
        <v>2946.47</v>
      </c>
      <c r="J272" s="501">
        <v>3161.18</v>
      </c>
      <c r="K272" s="501">
        <v>3243.52</v>
      </c>
      <c r="L272" s="501">
        <v>3289.64</v>
      </c>
      <c r="M272" s="501">
        <v>3270.18</v>
      </c>
      <c r="N272" s="501">
        <v>3263.42</v>
      </c>
      <c r="O272" s="501">
        <v>3260.08</v>
      </c>
      <c r="P272" s="501">
        <v>3255.85</v>
      </c>
      <c r="Q272" s="501">
        <v>3247.32</v>
      </c>
      <c r="R272" s="501">
        <v>3219.69</v>
      </c>
      <c r="S272" s="501">
        <v>3219.19</v>
      </c>
      <c r="T272" s="501">
        <v>3235.29</v>
      </c>
      <c r="U272" s="501">
        <v>3278.42</v>
      </c>
      <c r="V272" s="501">
        <v>3335.03</v>
      </c>
      <c r="W272" s="501">
        <v>3318.98</v>
      </c>
      <c r="X272" s="501">
        <v>3276.78</v>
      </c>
      <c r="Y272" s="501">
        <v>3102.25</v>
      </c>
      <c r="Z272" s="502"/>
    </row>
    <row r="273" spans="1:26">
      <c r="A273" s="500">
        <v>45056</v>
      </c>
      <c r="B273" s="501">
        <v>3078.74</v>
      </c>
      <c r="C273" s="501">
        <v>2930.85</v>
      </c>
      <c r="D273" s="501">
        <v>2866.85</v>
      </c>
      <c r="E273" s="501">
        <v>2832.42</v>
      </c>
      <c r="F273" s="501">
        <v>2865.43</v>
      </c>
      <c r="G273" s="501">
        <v>2944.04</v>
      </c>
      <c r="H273" s="501">
        <v>3129.18</v>
      </c>
      <c r="I273" s="501">
        <v>3363.27</v>
      </c>
      <c r="J273" s="501">
        <v>3413.98</v>
      </c>
      <c r="K273" s="501">
        <v>3417.28</v>
      </c>
      <c r="L273" s="501">
        <v>3408.33</v>
      </c>
      <c r="M273" s="501">
        <v>3442.43</v>
      </c>
      <c r="N273" s="501">
        <v>3449.57</v>
      </c>
      <c r="O273" s="501">
        <v>3456.43</v>
      </c>
      <c r="P273" s="501">
        <v>3441.08</v>
      </c>
      <c r="Q273" s="501">
        <v>3430.58</v>
      </c>
      <c r="R273" s="501">
        <v>3409.84</v>
      </c>
      <c r="S273" s="501">
        <v>3389.77</v>
      </c>
      <c r="T273" s="501">
        <v>3383.02</v>
      </c>
      <c r="U273" s="501">
        <v>3369.28</v>
      </c>
      <c r="V273" s="501">
        <v>3380.55</v>
      </c>
      <c r="W273" s="501">
        <v>3385.39</v>
      </c>
      <c r="X273" s="501">
        <v>3204.24</v>
      </c>
      <c r="Y273" s="501">
        <v>3098.44</v>
      </c>
      <c r="Z273" s="502"/>
    </row>
    <row r="274" spans="1:26">
      <c r="A274" s="500">
        <v>45057</v>
      </c>
      <c r="B274" s="501">
        <v>2783.74</v>
      </c>
      <c r="C274" s="501">
        <v>2665.91</v>
      </c>
      <c r="D274" s="501">
        <v>2629.57</v>
      </c>
      <c r="E274" s="501">
        <v>2596.71</v>
      </c>
      <c r="F274" s="501">
        <v>2627.46</v>
      </c>
      <c r="G274" s="501">
        <v>2729.65</v>
      </c>
      <c r="H274" s="501">
        <v>3288.74</v>
      </c>
      <c r="I274" s="501">
        <v>3303.89</v>
      </c>
      <c r="J274" s="501">
        <v>3396.53</v>
      </c>
      <c r="K274" s="501">
        <v>3399.46</v>
      </c>
      <c r="L274" s="501">
        <v>3353.81</v>
      </c>
      <c r="M274" s="501">
        <v>3398.93</v>
      </c>
      <c r="N274" s="501">
        <v>3407.97</v>
      </c>
      <c r="O274" s="501">
        <v>3395.84</v>
      </c>
      <c r="P274" s="501">
        <v>3369.48</v>
      </c>
      <c r="Q274" s="501">
        <v>3295.59</v>
      </c>
      <c r="R274" s="501">
        <v>3243.69</v>
      </c>
      <c r="S274" s="501">
        <v>3227.48</v>
      </c>
      <c r="T274" s="501">
        <v>3210.6</v>
      </c>
      <c r="U274" s="501">
        <v>3222.45</v>
      </c>
      <c r="V274" s="501">
        <v>3252.04</v>
      </c>
      <c r="W274" s="501">
        <v>3252.49</v>
      </c>
      <c r="X274" s="501">
        <v>3121.81</v>
      </c>
      <c r="Y274" s="501">
        <v>2878.83</v>
      </c>
      <c r="Z274" s="502"/>
    </row>
    <row r="275" spans="1:26">
      <c r="A275" s="500">
        <v>45058</v>
      </c>
      <c r="B275" s="501">
        <v>2767.59</v>
      </c>
      <c r="C275" s="501">
        <v>2651.64</v>
      </c>
      <c r="D275" s="501">
        <v>2596.63</v>
      </c>
      <c r="E275" s="501">
        <v>2559</v>
      </c>
      <c r="F275" s="501">
        <v>2647.42</v>
      </c>
      <c r="G275" s="501">
        <v>3024.5</v>
      </c>
      <c r="H275" s="501">
        <v>3459.88</v>
      </c>
      <c r="I275" s="501">
        <v>3499.1</v>
      </c>
      <c r="J275" s="501">
        <v>3518.81</v>
      </c>
      <c r="K275" s="501">
        <v>3522.21</v>
      </c>
      <c r="L275" s="501">
        <v>3517.59</v>
      </c>
      <c r="M275" s="501">
        <v>3507.7</v>
      </c>
      <c r="N275" s="501">
        <v>3512.65</v>
      </c>
      <c r="O275" s="501">
        <v>3509.9</v>
      </c>
      <c r="P275" s="501">
        <v>3594.82</v>
      </c>
      <c r="Q275" s="501">
        <v>3598.09</v>
      </c>
      <c r="R275" s="501">
        <v>3413.77</v>
      </c>
      <c r="S275" s="501">
        <v>3411.06</v>
      </c>
      <c r="T275" s="501">
        <v>3397.95</v>
      </c>
      <c r="U275" s="501">
        <v>3397.16</v>
      </c>
      <c r="V275" s="501">
        <v>3408.16</v>
      </c>
      <c r="W275" s="501">
        <v>3371.18</v>
      </c>
      <c r="X275" s="501">
        <v>3213.65</v>
      </c>
      <c r="Y275" s="501">
        <v>3109.82</v>
      </c>
      <c r="Z275" s="502"/>
    </row>
    <row r="276" spans="1:26">
      <c r="A276" s="500">
        <v>45059</v>
      </c>
      <c r="B276" s="501">
        <v>3054.86</v>
      </c>
      <c r="C276" s="501">
        <v>2830</v>
      </c>
      <c r="D276" s="501">
        <v>2700.99</v>
      </c>
      <c r="E276" s="501">
        <v>2675.17</v>
      </c>
      <c r="F276" s="501">
        <v>2674.5</v>
      </c>
      <c r="G276" s="501">
        <v>2702.24</v>
      </c>
      <c r="H276" s="501">
        <v>2869.92</v>
      </c>
      <c r="I276" s="501">
        <v>3035.9</v>
      </c>
      <c r="J276" s="501">
        <v>3206.51</v>
      </c>
      <c r="K276" s="501">
        <v>3405.52</v>
      </c>
      <c r="L276" s="501">
        <v>3413.83</v>
      </c>
      <c r="M276" s="501">
        <v>3414</v>
      </c>
      <c r="N276" s="501">
        <v>3405.29</v>
      </c>
      <c r="O276" s="501">
        <v>3395.41</v>
      </c>
      <c r="P276" s="501">
        <v>3392.37</v>
      </c>
      <c r="Q276" s="501">
        <v>3376.85</v>
      </c>
      <c r="R276" s="501">
        <v>3334.53</v>
      </c>
      <c r="S276" s="501">
        <v>3288.44</v>
      </c>
      <c r="T276" s="501">
        <v>3284.69</v>
      </c>
      <c r="U276" s="501">
        <v>3325.8</v>
      </c>
      <c r="V276" s="501">
        <v>3344.61</v>
      </c>
      <c r="W276" s="501">
        <v>3304.19</v>
      </c>
      <c r="X276" s="501">
        <v>3240.3</v>
      </c>
      <c r="Y276" s="501">
        <v>3082.38</v>
      </c>
      <c r="Z276" s="502"/>
    </row>
    <row r="277" spans="1:26">
      <c r="A277" s="500">
        <v>45060</v>
      </c>
      <c r="B277" s="501">
        <v>2906.7</v>
      </c>
      <c r="C277" s="501">
        <v>2730.41</v>
      </c>
      <c r="D277" s="501">
        <v>2658.95</v>
      </c>
      <c r="E277" s="501">
        <v>2643.25</v>
      </c>
      <c r="F277" s="501">
        <v>2635.26</v>
      </c>
      <c r="G277" s="501">
        <v>2572.96</v>
      </c>
      <c r="H277" s="501">
        <v>2571.04</v>
      </c>
      <c r="I277" s="501">
        <v>2772.49</v>
      </c>
      <c r="J277" s="501">
        <v>3018.49</v>
      </c>
      <c r="K277" s="501">
        <v>3137.62</v>
      </c>
      <c r="L277" s="501">
        <v>3165.23</v>
      </c>
      <c r="M277" s="501">
        <v>3168.66</v>
      </c>
      <c r="N277" s="501">
        <v>3164.24</v>
      </c>
      <c r="O277" s="501">
        <v>3161.06</v>
      </c>
      <c r="P277" s="501">
        <v>3156.98</v>
      </c>
      <c r="Q277" s="501">
        <v>3161.39</v>
      </c>
      <c r="R277" s="501">
        <v>3162.23</v>
      </c>
      <c r="S277" s="501">
        <v>3140.11</v>
      </c>
      <c r="T277" s="501">
        <v>3170.16</v>
      </c>
      <c r="U277" s="501">
        <v>3240.49</v>
      </c>
      <c r="V277" s="501">
        <v>3282.68</v>
      </c>
      <c r="W277" s="501">
        <v>3240.94</v>
      </c>
      <c r="X277" s="501">
        <v>3176.47</v>
      </c>
      <c r="Y277" s="501">
        <v>3039.25</v>
      </c>
      <c r="Z277" s="502"/>
    </row>
    <row r="278" spans="1:26">
      <c r="A278" s="500">
        <v>45061</v>
      </c>
      <c r="B278" s="501">
        <v>2870.72</v>
      </c>
      <c r="C278" s="501">
        <v>2702.24</v>
      </c>
      <c r="D278" s="501">
        <v>2651.19</v>
      </c>
      <c r="E278" s="501">
        <v>2632.02</v>
      </c>
      <c r="F278" s="501">
        <v>2677.27</v>
      </c>
      <c r="G278" s="501">
        <v>2771.6</v>
      </c>
      <c r="H278" s="501">
        <v>3012.86</v>
      </c>
      <c r="I278" s="501">
        <v>3210.08</v>
      </c>
      <c r="J278" s="501">
        <v>3452.78</v>
      </c>
      <c r="K278" s="501">
        <v>3485.83</v>
      </c>
      <c r="L278" s="501">
        <v>3465.8</v>
      </c>
      <c r="M278" s="501">
        <v>3476.98</v>
      </c>
      <c r="N278" s="501">
        <v>3476.39</v>
      </c>
      <c r="O278" s="501">
        <v>3496.93</v>
      </c>
      <c r="P278" s="501">
        <v>3453.09</v>
      </c>
      <c r="Q278" s="501">
        <v>3427.07</v>
      </c>
      <c r="R278" s="501">
        <v>3408.45</v>
      </c>
      <c r="S278" s="501">
        <v>3380.73</v>
      </c>
      <c r="T278" s="501">
        <v>3353.3</v>
      </c>
      <c r="U278" s="501">
        <v>3349.22</v>
      </c>
      <c r="V278" s="501">
        <v>3376.84</v>
      </c>
      <c r="W278" s="501">
        <v>3387.54</v>
      </c>
      <c r="X278" s="501">
        <v>3190.04</v>
      </c>
      <c r="Y278" s="501">
        <v>3060.24</v>
      </c>
      <c r="Z278" s="502"/>
    </row>
    <row r="279" spans="1:26">
      <c r="A279" s="500">
        <v>45062</v>
      </c>
      <c r="B279" s="501">
        <v>2817.63</v>
      </c>
      <c r="C279" s="501">
        <v>2742.53</v>
      </c>
      <c r="D279" s="501">
        <v>2670.93</v>
      </c>
      <c r="E279" s="501">
        <v>2660.33</v>
      </c>
      <c r="F279" s="501">
        <v>2697.84</v>
      </c>
      <c r="G279" s="501">
        <v>2857.29</v>
      </c>
      <c r="H279" s="501">
        <v>3046.72</v>
      </c>
      <c r="I279" s="501">
        <v>3204.15</v>
      </c>
      <c r="J279" s="501">
        <v>3417.09</v>
      </c>
      <c r="K279" s="501">
        <v>3440.63</v>
      </c>
      <c r="L279" s="501">
        <v>3423</v>
      </c>
      <c r="M279" s="501">
        <v>3418.72</v>
      </c>
      <c r="N279" s="501">
        <v>3409.64</v>
      </c>
      <c r="O279" s="501">
        <v>3438.2</v>
      </c>
      <c r="P279" s="501">
        <v>3410.65</v>
      </c>
      <c r="Q279" s="501">
        <v>3324.88</v>
      </c>
      <c r="R279" s="501">
        <v>3268.79</v>
      </c>
      <c r="S279" s="501">
        <v>3249.64</v>
      </c>
      <c r="T279" s="501">
        <v>3226.34</v>
      </c>
      <c r="U279" s="501">
        <v>3240.02</v>
      </c>
      <c r="V279" s="501">
        <v>3303.13</v>
      </c>
      <c r="W279" s="501">
        <v>3359.56</v>
      </c>
      <c r="X279" s="501">
        <v>3157.26</v>
      </c>
      <c r="Y279" s="501">
        <v>2973.83</v>
      </c>
      <c r="Z279" s="502"/>
    </row>
    <row r="280" spans="1:26">
      <c r="A280" s="500">
        <v>45063</v>
      </c>
      <c r="B280" s="501">
        <v>2740.64</v>
      </c>
      <c r="C280" s="501">
        <v>2658.88</v>
      </c>
      <c r="D280" s="501">
        <v>2599.8200000000002</v>
      </c>
      <c r="E280" s="501">
        <v>2558.1</v>
      </c>
      <c r="F280" s="501">
        <v>2601.5500000000002</v>
      </c>
      <c r="G280" s="501">
        <v>2729.12</v>
      </c>
      <c r="H280" s="501">
        <v>2997.96</v>
      </c>
      <c r="I280" s="501">
        <v>3172.79</v>
      </c>
      <c r="J280" s="501">
        <v>3364.45</v>
      </c>
      <c r="K280" s="501">
        <v>3427.19</v>
      </c>
      <c r="L280" s="501">
        <v>3388.94</v>
      </c>
      <c r="M280" s="501">
        <v>3424.22</v>
      </c>
      <c r="N280" s="501">
        <v>3413.04</v>
      </c>
      <c r="O280" s="501">
        <v>3425.71</v>
      </c>
      <c r="P280" s="501">
        <v>3370.4</v>
      </c>
      <c r="Q280" s="501">
        <v>3306.89</v>
      </c>
      <c r="R280" s="501">
        <v>3245.77</v>
      </c>
      <c r="S280" s="501">
        <v>3219.62</v>
      </c>
      <c r="T280" s="501">
        <v>3206.02</v>
      </c>
      <c r="U280" s="501">
        <v>3221.28</v>
      </c>
      <c r="V280" s="501">
        <v>3258.09</v>
      </c>
      <c r="W280" s="501">
        <v>3325.62</v>
      </c>
      <c r="X280" s="501">
        <v>3167.22</v>
      </c>
      <c r="Y280" s="501">
        <v>2922.72</v>
      </c>
      <c r="Z280" s="502"/>
    </row>
    <row r="281" spans="1:26">
      <c r="A281" s="500">
        <v>45064</v>
      </c>
      <c r="B281" s="501">
        <v>2788.77</v>
      </c>
      <c r="C281" s="501">
        <v>2707.78</v>
      </c>
      <c r="D281" s="501">
        <v>2611.16</v>
      </c>
      <c r="E281" s="501">
        <v>2594.71</v>
      </c>
      <c r="F281" s="501">
        <v>2671.67</v>
      </c>
      <c r="G281" s="501">
        <v>2777.85</v>
      </c>
      <c r="H281" s="501">
        <v>2973.78</v>
      </c>
      <c r="I281" s="501">
        <v>3172.7</v>
      </c>
      <c r="J281" s="501">
        <v>3362.89</v>
      </c>
      <c r="K281" s="501">
        <v>3402.39</v>
      </c>
      <c r="L281" s="501">
        <v>3380.05</v>
      </c>
      <c r="M281" s="501">
        <v>3387.24</v>
      </c>
      <c r="N281" s="501">
        <v>3383.45</v>
      </c>
      <c r="O281" s="501">
        <v>3398.55</v>
      </c>
      <c r="P281" s="501">
        <v>3385.62</v>
      </c>
      <c r="Q281" s="501">
        <v>3371.1</v>
      </c>
      <c r="R281" s="501">
        <v>3375.91</v>
      </c>
      <c r="S281" s="501">
        <v>3374.27</v>
      </c>
      <c r="T281" s="501">
        <v>3362.87</v>
      </c>
      <c r="U281" s="501">
        <v>3385.66</v>
      </c>
      <c r="V281" s="501">
        <v>3391.41</v>
      </c>
      <c r="W281" s="501">
        <v>3398.49</v>
      </c>
      <c r="X281" s="501">
        <v>3203.86</v>
      </c>
      <c r="Y281" s="501">
        <v>3042.58</v>
      </c>
      <c r="Z281" s="502"/>
    </row>
    <row r="282" spans="1:26">
      <c r="A282" s="500">
        <v>45065</v>
      </c>
      <c r="B282" s="501">
        <v>2784.11</v>
      </c>
      <c r="C282" s="501">
        <v>2649.23</v>
      </c>
      <c r="D282" s="501">
        <v>2568.63</v>
      </c>
      <c r="E282" s="501">
        <v>2534.9899999999998</v>
      </c>
      <c r="F282" s="501">
        <v>2565.09</v>
      </c>
      <c r="G282" s="501">
        <v>2835.06</v>
      </c>
      <c r="H282" s="501">
        <v>3015.27</v>
      </c>
      <c r="I282" s="501">
        <v>3273.91</v>
      </c>
      <c r="J282" s="501">
        <v>3461.97</v>
      </c>
      <c r="K282" s="501">
        <v>3512.06</v>
      </c>
      <c r="L282" s="501">
        <v>3499.58</v>
      </c>
      <c r="M282" s="501">
        <v>3514.74</v>
      </c>
      <c r="N282" s="501">
        <v>3515.18</v>
      </c>
      <c r="O282" s="501">
        <v>3517.69</v>
      </c>
      <c r="P282" s="501">
        <v>3504.02</v>
      </c>
      <c r="Q282" s="501">
        <v>3489.74</v>
      </c>
      <c r="R282" s="501">
        <v>3461.55</v>
      </c>
      <c r="S282" s="501">
        <v>3444.52</v>
      </c>
      <c r="T282" s="501">
        <v>3422.74</v>
      </c>
      <c r="U282" s="501">
        <v>3424.39</v>
      </c>
      <c r="V282" s="501">
        <v>3437.46</v>
      </c>
      <c r="W282" s="501">
        <v>3436.46</v>
      </c>
      <c r="X282" s="501">
        <v>3272.55</v>
      </c>
      <c r="Y282" s="501">
        <v>3069.24</v>
      </c>
      <c r="Z282" s="502"/>
    </row>
    <row r="283" spans="1:26">
      <c r="A283" s="500">
        <v>45066</v>
      </c>
      <c r="B283" s="501">
        <v>3064.74</v>
      </c>
      <c r="C283" s="501">
        <v>2949.88</v>
      </c>
      <c r="D283" s="501">
        <v>2877.93</v>
      </c>
      <c r="E283" s="501">
        <v>2777.3</v>
      </c>
      <c r="F283" s="501">
        <v>2774.59</v>
      </c>
      <c r="G283" s="501">
        <v>2835.92</v>
      </c>
      <c r="H283" s="501">
        <v>2942.5</v>
      </c>
      <c r="I283" s="501">
        <v>3121.9</v>
      </c>
      <c r="J283" s="501">
        <v>3323.01</v>
      </c>
      <c r="K283" s="501">
        <v>3454.98</v>
      </c>
      <c r="L283" s="501">
        <v>3492.96</v>
      </c>
      <c r="M283" s="501">
        <v>3475.44</v>
      </c>
      <c r="N283" s="501">
        <v>3401.44</v>
      </c>
      <c r="O283" s="501">
        <v>3376.6</v>
      </c>
      <c r="P283" s="501">
        <v>3364.24</v>
      </c>
      <c r="Q283" s="501">
        <v>3331.58</v>
      </c>
      <c r="R283" s="501">
        <v>3317.44</v>
      </c>
      <c r="S283" s="501">
        <v>3289.37</v>
      </c>
      <c r="T283" s="501">
        <v>3293.67</v>
      </c>
      <c r="U283" s="501">
        <v>3329.01</v>
      </c>
      <c r="V283" s="501">
        <v>3364.42</v>
      </c>
      <c r="W283" s="501">
        <v>3332.53</v>
      </c>
      <c r="X283" s="501">
        <v>3189.4</v>
      </c>
      <c r="Y283" s="501">
        <v>3027.15</v>
      </c>
      <c r="Z283" s="502"/>
    </row>
    <row r="284" spans="1:26">
      <c r="A284" s="500">
        <v>45067</v>
      </c>
      <c r="B284" s="501">
        <v>3003.37</v>
      </c>
      <c r="C284" s="501">
        <v>2874.74</v>
      </c>
      <c r="D284" s="501">
        <v>2764.22</v>
      </c>
      <c r="E284" s="501">
        <v>2690.12</v>
      </c>
      <c r="F284" s="501">
        <v>2686.52</v>
      </c>
      <c r="G284" s="501">
        <v>2658.38</v>
      </c>
      <c r="H284" s="501">
        <v>2741.77</v>
      </c>
      <c r="I284" s="501">
        <v>2967.62</v>
      </c>
      <c r="J284" s="501">
        <v>3135.48</v>
      </c>
      <c r="K284" s="501">
        <v>3251.85</v>
      </c>
      <c r="L284" s="501">
        <v>3287.07</v>
      </c>
      <c r="M284" s="501">
        <v>3295.44</v>
      </c>
      <c r="N284" s="501">
        <v>3290.2</v>
      </c>
      <c r="O284" s="501">
        <v>3282.38</v>
      </c>
      <c r="P284" s="501">
        <v>3285.33</v>
      </c>
      <c r="Q284" s="501">
        <v>3287.42</v>
      </c>
      <c r="R284" s="501">
        <v>3282.6</v>
      </c>
      <c r="S284" s="501">
        <v>3276.47</v>
      </c>
      <c r="T284" s="501">
        <v>3338.26</v>
      </c>
      <c r="U284" s="501">
        <v>3423.88</v>
      </c>
      <c r="V284" s="501">
        <v>3453.99</v>
      </c>
      <c r="W284" s="501">
        <v>3390.64</v>
      </c>
      <c r="X284" s="501">
        <v>3241.92</v>
      </c>
      <c r="Y284" s="501">
        <v>3071.28</v>
      </c>
      <c r="Z284" s="502"/>
    </row>
    <row r="285" spans="1:26">
      <c r="A285" s="500">
        <v>45068</v>
      </c>
      <c r="B285" s="501">
        <v>2884.51</v>
      </c>
      <c r="C285" s="501">
        <v>2746.58</v>
      </c>
      <c r="D285" s="501">
        <v>2685.71</v>
      </c>
      <c r="E285" s="501">
        <v>2681.31</v>
      </c>
      <c r="F285" s="501">
        <v>2684.1</v>
      </c>
      <c r="G285" s="501">
        <v>2747.3</v>
      </c>
      <c r="H285" s="501">
        <v>3001.02</v>
      </c>
      <c r="I285" s="501">
        <v>3246.57</v>
      </c>
      <c r="J285" s="501">
        <v>3473.13</v>
      </c>
      <c r="K285" s="501">
        <v>3518.77</v>
      </c>
      <c r="L285" s="501">
        <v>3500.53</v>
      </c>
      <c r="M285" s="501">
        <v>3499.4</v>
      </c>
      <c r="N285" s="501">
        <v>3455.07</v>
      </c>
      <c r="O285" s="501">
        <v>3484.01</v>
      </c>
      <c r="P285" s="501">
        <v>3464.31</v>
      </c>
      <c r="Q285" s="501">
        <v>3435.81</v>
      </c>
      <c r="R285" s="501">
        <v>3416.43</v>
      </c>
      <c r="S285" s="501">
        <v>3424.19</v>
      </c>
      <c r="T285" s="501">
        <v>3406.93</v>
      </c>
      <c r="U285" s="501">
        <v>3381.07</v>
      </c>
      <c r="V285" s="501">
        <v>3410.99</v>
      </c>
      <c r="W285" s="501">
        <v>3437.8</v>
      </c>
      <c r="X285" s="501">
        <v>3178.48</v>
      </c>
      <c r="Y285" s="501">
        <v>3005.49</v>
      </c>
      <c r="Z285" s="502"/>
    </row>
    <row r="286" spans="1:26">
      <c r="A286" s="500">
        <v>45069</v>
      </c>
      <c r="B286" s="501">
        <v>2902.4</v>
      </c>
      <c r="C286" s="501">
        <v>2759.44</v>
      </c>
      <c r="D286" s="501">
        <v>2674.86</v>
      </c>
      <c r="E286" s="501">
        <v>2647.39</v>
      </c>
      <c r="F286" s="501">
        <v>2809.64</v>
      </c>
      <c r="G286" s="501">
        <v>2969.02</v>
      </c>
      <c r="H286" s="501">
        <v>3061.89</v>
      </c>
      <c r="I286" s="501">
        <v>3249.12</v>
      </c>
      <c r="J286" s="501">
        <v>3429.53</v>
      </c>
      <c r="K286" s="501">
        <v>3470.7</v>
      </c>
      <c r="L286" s="501">
        <v>3414.59</v>
      </c>
      <c r="M286" s="501">
        <v>3480.85</v>
      </c>
      <c r="N286" s="501">
        <v>3487.33</v>
      </c>
      <c r="O286" s="501">
        <v>3501.13</v>
      </c>
      <c r="P286" s="501">
        <v>3465.8</v>
      </c>
      <c r="Q286" s="501">
        <v>3443.45</v>
      </c>
      <c r="R286" s="501">
        <v>3426.56</v>
      </c>
      <c r="S286" s="501">
        <v>3397.11</v>
      </c>
      <c r="T286" s="501">
        <v>3368.51</v>
      </c>
      <c r="U286" s="501">
        <v>3356.49</v>
      </c>
      <c r="V286" s="501">
        <v>3359.5</v>
      </c>
      <c r="W286" s="501">
        <v>3356.51</v>
      </c>
      <c r="X286" s="501">
        <v>3190.69</v>
      </c>
      <c r="Y286" s="501">
        <v>2959.06</v>
      </c>
      <c r="Z286" s="502"/>
    </row>
    <row r="287" spans="1:26">
      <c r="A287" s="500">
        <v>45070</v>
      </c>
      <c r="B287" s="501">
        <v>2922.78</v>
      </c>
      <c r="C287" s="501">
        <v>2725.15</v>
      </c>
      <c r="D287" s="501">
        <v>2693.94</v>
      </c>
      <c r="E287" s="501">
        <v>2659.11</v>
      </c>
      <c r="F287" s="501">
        <v>2681</v>
      </c>
      <c r="G287" s="501">
        <v>2875.89</v>
      </c>
      <c r="H287" s="501">
        <v>3201.94</v>
      </c>
      <c r="I287" s="501">
        <v>3369.97</v>
      </c>
      <c r="J287" s="501">
        <v>3467.8</v>
      </c>
      <c r="K287" s="501">
        <v>3482.48</v>
      </c>
      <c r="L287" s="501">
        <v>3473.25</v>
      </c>
      <c r="M287" s="501">
        <v>3463.58</v>
      </c>
      <c r="N287" s="501">
        <v>3459.4</v>
      </c>
      <c r="O287" s="501">
        <v>3464.99</v>
      </c>
      <c r="P287" s="501">
        <v>3459.97</v>
      </c>
      <c r="Q287" s="501">
        <v>3466.86</v>
      </c>
      <c r="R287" s="501">
        <v>3453.41</v>
      </c>
      <c r="S287" s="501">
        <v>3446.32</v>
      </c>
      <c r="T287" s="501">
        <v>3443.8</v>
      </c>
      <c r="U287" s="501">
        <v>3446.3</v>
      </c>
      <c r="V287" s="501">
        <v>3448.52</v>
      </c>
      <c r="W287" s="501">
        <v>3438.99</v>
      </c>
      <c r="X287" s="501">
        <v>3335.68</v>
      </c>
      <c r="Y287" s="501">
        <v>3037.31</v>
      </c>
      <c r="Z287" s="502"/>
    </row>
    <row r="288" spans="1:26">
      <c r="A288" s="500">
        <v>45071</v>
      </c>
      <c r="B288" s="501">
        <v>2762.63</v>
      </c>
      <c r="C288" s="501">
        <v>2662.15</v>
      </c>
      <c r="D288" s="501">
        <v>2607.48</v>
      </c>
      <c r="E288" s="501">
        <v>2568.5300000000002</v>
      </c>
      <c r="F288" s="501">
        <v>2581.62</v>
      </c>
      <c r="G288" s="501">
        <v>2765.78</v>
      </c>
      <c r="H288" s="501">
        <v>3164.4</v>
      </c>
      <c r="I288" s="501">
        <v>3323.84</v>
      </c>
      <c r="J288" s="501">
        <v>3492.81</v>
      </c>
      <c r="K288" s="501">
        <v>3490.57</v>
      </c>
      <c r="L288" s="501">
        <v>3485.2</v>
      </c>
      <c r="M288" s="501">
        <v>3480.89</v>
      </c>
      <c r="N288" s="501">
        <v>3483.31</v>
      </c>
      <c r="O288" s="501">
        <v>3481.95</v>
      </c>
      <c r="P288" s="501">
        <v>3500.17</v>
      </c>
      <c r="Q288" s="501">
        <v>3497.85</v>
      </c>
      <c r="R288" s="501">
        <v>3476.68</v>
      </c>
      <c r="S288" s="501">
        <v>3473.21</v>
      </c>
      <c r="T288" s="501">
        <v>3470.69</v>
      </c>
      <c r="U288" s="501">
        <v>3474.88</v>
      </c>
      <c r="V288" s="501">
        <v>3478.5</v>
      </c>
      <c r="W288" s="501">
        <v>3463.34</v>
      </c>
      <c r="X288" s="501">
        <v>3360.62</v>
      </c>
      <c r="Y288" s="501">
        <v>2972.33</v>
      </c>
      <c r="Z288" s="502"/>
    </row>
    <row r="289" spans="1:26">
      <c r="A289" s="500">
        <v>45072</v>
      </c>
      <c r="B289" s="501">
        <v>2856.97</v>
      </c>
      <c r="C289" s="501">
        <v>2726.79</v>
      </c>
      <c r="D289" s="501">
        <v>2669.78</v>
      </c>
      <c r="E289" s="501">
        <v>2633.53</v>
      </c>
      <c r="F289" s="501">
        <v>2669.64</v>
      </c>
      <c r="G289" s="501">
        <v>2791.18</v>
      </c>
      <c r="H289" s="501">
        <v>3206.62</v>
      </c>
      <c r="I289" s="501">
        <v>3374.81</v>
      </c>
      <c r="J289" s="501">
        <v>3575.92</v>
      </c>
      <c r="K289" s="501">
        <v>3580.57</v>
      </c>
      <c r="L289" s="501">
        <v>3578.45</v>
      </c>
      <c r="M289" s="501">
        <v>3574.59</v>
      </c>
      <c r="N289" s="501">
        <v>3576.94</v>
      </c>
      <c r="O289" s="501">
        <v>3577.12</v>
      </c>
      <c r="P289" s="501">
        <v>3590.57</v>
      </c>
      <c r="Q289" s="501">
        <v>3585.15</v>
      </c>
      <c r="R289" s="501">
        <v>3561.95</v>
      </c>
      <c r="S289" s="501">
        <v>3556.9</v>
      </c>
      <c r="T289" s="501">
        <v>3552.77</v>
      </c>
      <c r="U289" s="501">
        <v>3550.3</v>
      </c>
      <c r="V289" s="501">
        <v>3557.4</v>
      </c>
      <c r="W289" s="501">
        <v>3545.23</v>
      </c>
      <c r="X289" s="501">
        <v>3482.62</v>
      </c>
      <c r="Y289" s="501">
        <v>3212.21</v>
      </c>
      <c r="Z289" s="502"/>
    </row>
    <row r="290" spans="1:26">
      <c r="A290" s="500">
        <v>45073</v>
      </c>
      <c r="B290" s="501">
        <v>3150.16</v>
      </c>
      <c r="C290" s="501">
        <v>2915.44</v>
      </c>
      <c r="D290" s="501">
        <v>2778.84</v>
      </c>
      <c r="E290" s="501">
        <v>2739.88</v>
      </c>
      <c r="F290" s="501">
        <v>2723.73</v>
      </c>
      <c r="G290" s="501">
        <v>2711</v>
      </c>
      <c r="H290" s="501">
        <v>3043.56</v>
      </c>
      <c r="I290" s="501">
        <v>3205.84</v>
      </c>
      <c r="J290" s="501">
        <v>3452.6</v>
      </c>
      <c r="K290" s="501">
        <v>3504.48</v>
      </c>
      <c r="L290" s="501">
        <v>3503.84</v>
      </c>
      <c r="M290" s="501">
        <v>3503.26</v>
      </c>
      <c r="N290" s="501">
        <v>3501.83</v>
      </c>
      <c r="O290" s="501">
        <v>3496.82</v>
      </c>
      <c r="P290" s="501">
        <v>3489.27</v>
      </c>
      <c r="Q290" s="501">
        <v>3486.43</v>
      </c>
      <c r="R290" s="501">
        <v>3487.49</v>
      </c>
      <c r="S290" s="501">
        <v>3463.11</v>
      </c>
      <c r="T290" s="501">
        <v>3460.07</v>
      </c>
      <c r="U290" s="501">
        <v>3464.98</v>
      </c>
      <c r="V290" s="501">
        <v>3496.8</v>
      </c>
      <c r="W290" s="501">
        <v>3488.12</v>
      </c>
      <c r="X290" s="501">
        <v>3425.29</v>
      </c>
      <c r="Y290" s="501">
        <v>3112.45</v>
      </c>
      <c r="Z290" s="502"/>
    </row>
    <row r="291" spans="1:26">
      <c r="A291" s="500">
        <v>45074</v>
      </c>
      <c r="B291" s="501">
        <v>3024.5</v>
      </c>
      <c r="C291" s="501">
        <v>2863.57</v>
      </c>
      <c r="D291" s="501">
        <v>2748.71</v>
      </c>
      <c r="E291" s="501">
        <v>2720.97</v>
      </c>
      <c r="F291" s="501">
        <v>2699.17</v>
      </c>
      <c r="G291" s="501">
        <v>2688.54</v>
      </c>
      <c r="H291" s="501">
        <v>2903.02</v>
      </c>
      <c r="I291" s="501">
        <v>3059.07</v>
      </c>
      <c r="J291" s="501">
        <v>3308.67</v>
      </c>
      <c r="K291" s="501">
        <v>3446.79</v>
      </c>
      <c r="L291" s="501">
        <v>3452.04</v>
      </c>
      <c r="M291" s="501">
        <v>3450.45</v>
      </c>
      <c r="N291" s="501">
        <v>3450.17</v>
      </c>
      <c r="O291" s="501">
        <v>3450.28</v>
      </c>
      <c r="P291" s="501">
        <v>3449.99</v>
      </c>
      <c r="Q291" s="501">
        <v>3451.02</v>
      </c>
      <c r="R291" s="501">
        <v>3457.46</v>
      </c>
      <c r="S291" s="501">
        <v>3460.03</v>
      </c>
      <c r="T291" s="501">
        <v>3458.12</v>
      </c>
      <c r="U291" s="501">
        <v>3455</v>
      </c>
      <c r="V291" s="501">
        <v>3466.94</v>
      </c>
      <c r="W291" s="501">
        <v>3457.46</v>
      </c>
      <c r="X291" s="501">
        <v>3379.67</v>
      </c>
      <c r="Y291" s="501">
        <v>3094.91</v>
      </c>
      <c r="Z291" s="502"/>
    </row>
    <row r="292" spans="1:26">
      <c r="A292" s="500">
        <v>45075</v>
      </c>
      <c r="B292" s="501">
        <v>2950.03</v>
      </c>
      <c r="C292" s="501">
        <v>2794.73</v>
      </c>
      <c r="D292" s="501">
        <v>2709.76</v>
      </c>
      <c r="E292" s="501">
        <v>2674.07</v>
      </c>
      <c r="F292" s="501">
        <v>2695.97</v>
      </c>
      <c r="G292" s="501">
        <v>2780.38</v>
      </c>
      <c r="H292" s="501">
        <v>3214.54</v>
      </c>
      <c r="I292" s="501">
        <v>3440.65</v>
      </c>
      <c r="J292" s="501">
        <v>3528.02</v>
      </c>
      <c r="K292" s="501">
        <v>3529.62</v>
      </c>
      <c r="L292" s="501">
        <v>3526.54</v>
      </c>
      <c r="M292" s="501">
        <v>3525.41</v>
      </c>
      <c r="N292" s="501">
        <v>3527.28</v>
      </c>
      <c r="O292" s="501">
        <v>3525.27</v>
      </c>
      <c r="P292" s="501">
        <v>3522.77</v>
      </c>
      <c r="Q292" s="501">
        <v>3516.93</v>
      </c>
      <c r="R292" s="501">
        <v>3512.16</v>
      </c>
      <c r="S292" s="501">
        <v>3510.82</v>
      </c>
      <c r="T292" s="501">
        <v>3506.15</v>
      </c>
      <c r="U292" s="501">
        <v>3507.21</v>
      </c>
      <c r="V292" s="501">
        <v>3507.77</v>
      </c>
      <c r="W292" s="501">
        <v>3499.13</v>
      </c>
      <c r="X292" s="501">
        <v>3452.87</v>
      </c>
      <c r="Y292" s="501">
        <v>3066.4</v>
      </c>
      <c r="Z292" s="502"/>
    </row>
    <row r="293" spans="1:26">
      <c r="A293" s="500">
        <v>45076</v>
      </c>
      <c r="B293" s="501">
        <v>2875.95</v>
      </c>
      <c r="C293" s="501">
        <v>2740.31</v>
      </c>
      <c r="D293" s="501">
        <v>2715.19</v>
      </c>
      <c r="E293" s="501">
        <v>2691.82</v>
      </c>
      <c r="F293" s="501">
        <v>2716.99</v>
      </c>
      <c r="G293" s="501">
        <v>2881.54</v>
      </c>
      <c r="H293" s="501">
        <v>3216.52</v>
      </c>
      <c r="I293" s="501">
        <v>3455.43</v>
      </c>
      <c r="J293" s="501">
        <v>3569.78</v>
      </c>
      <c r="K293" s="501">
        <v>3571.69</v>
      </c>
      <c r="L293" s="501">
        <v>3569.97</v>
      </c>
      <c r="M293" s="501">
        <v>3566.18</v>
      </c>
      <c r="N293" s="501">
        <v>3569.53</v>
      </c>
      <c r="O293" s="501">
        <v>3568.87</v>
      </c>
      <c r="P293" s="501">
        <v>3566.51</v>
      </c>
      <c r="Q293" s="501">
        <v>3561.96</v>
      </c>
      <c r="R293" s="501">
        <v>3557.03</v>
      </c>
      <c r="S293" s="501">
        <v>3553.29</v>
      </c>
      <c r="T293" s="501">
        <v>3547.13</v>
      </c>
      <c r="U293" s="501">
        <v>3546.42</v>
      </c>
      <c r="V293" s="501">
        <v>3548.26</v>
      </c>
      <c r="W293" s="501">
        <v>3526.19</v>
      </c>
      <c r="X293" s="501">
        <v>3434.79</v>
      </c>
      <c r="Y293" s="501">
        <v>3094.13</v>
      </c>
      <c r="Z293" s="502"/>
    </row>
    <row r="294" spans="1:26">
      <c r="A294" s="500">
        <v>45077</v>
      </c>
      <c r="B294" s="501">
        <v>2827.98</v>
      </c>
      <c r="C294" s="501">
        <v>2702.42</v>
      </c>
      <c r="D294" s="501">
        <v>2641.92</v>
      </c>
      <c r="E294" s="501">
        <v>2608.2399999999998</v>
      </c>
      <c r="F294" s="501">
        <v>2604.2399999999998</v>
      </c>
      <c r="G294" s="501">
        <v>2769.23</v>
      </c>
      <c r="H294" s="501">
        <v>3170.39</v>
      </c>
      <c r="I294" s="501">
        <v>3408.15</v>
      </c>
      <c r="J294" s="501">
        <v>3594.03</v>
      </c>
      <c r="K294" s="501">
        <v>3594.2</v>
      </c>
      <c r="L294" s="501">
        <v>3591.75</v>
      </c>
      <c r="M294" s="501">
        <v>3587.96</v>
      </c>
      <c r="N294" s="501">
        <v>3591.34</v>
      </c>
      <c r="O294" s="501">
        <v>3588.01</v>
      </c>
      <c r="P294" s="501">
        <v>3578.86</v>
      </c>
      <c r="Q294" s="501">
        <v>3571.49</v>
      </c>
      <c r="R294" s="501">
        <v>3568.26</v>
      </c>
      <c r="S294" s="501">
        <v>3566.19</v>
      </c>
      <c r="T294" s="501">
        <v>3564.12</v>
      </c>
      <c r="U294" s="501">
        <v>3566.3</v>
      </c>
      <c r="V294" s="501">
        <v>3570.05</v>
      </c>
      <c r="W294" s="501">
        <v>3550.87</v>
      </c>
      <c r="X294" s="501">
        <v>3453.32</v>
      </c>
      <c r="Y294" s="501">
        <v>3150.45</v>
      </c>
      <c r="Z294" s="502"/>
    </row>
    <row r="295" spans="1:26">
      <c r="A295" s="506"/>
      <c r="B295" s="507"/>
      <c r="C295" s="507"/>
      <c r="D295" s="507"/>
      <c r="E295" s="507"/>
      <c r="F295" s="507"/>
      <c r="G295" s="507"/>
      <c r="H295" s="507"/>
      <c r="I295" s="507"/>
      <c r="J295" s="507"/>
      <c r="K295" s="507"/>
      <c r="L295" s="507"/>
      <c r="M295" s="507"/>
      <c r="N295" s="507"/>
      <c r="O295" s="507"/>
      <c r="P295" s="507"/>
      <c r="Q295" s="507"/>
      <c r="R295" s="507"/>
      <c r="S295" s="507"/>
      <c r="T295" s="507"/>
      <c r="U295" s="507"/>
      <c r="V295" s="507"/>
      <c r="W295" s="507"/>
      <c r="X295" s="507"/>
      <c r="Y295" s="507"/>
      <c r="Z295" s="502"/>
    </row>
    <row r="297" spans="1:26" ht="27" customHeight="1">
      <c r="A297" s="871" t="s">
        <v>740</v>
      </c>
      <c r="B297" s="872"/>
      <c r="C297" s="872"/>
      <c r="D297" s="872"/>
      <c r="E297" s="872"/>
      <c r="F297" s="872"/>
      <c r="G297" s="873"/>
      <c r="H297" s="874">
        <v>871272.14</v>
      </c>
      <c r="I297" s="874"/>
    </row>
    <row r="299" spans="1:26">
      <c r="A299" s="875" t="s">
        <v>741</v>
      </c>
      <c r="B299" s="875"/>
      <c r="C299" s="875"/>
      <c r="D299" s="875"/>
      <c r="E299" s="875"/>
      <c r="F299" s="875"/>
      <c r="G299" s="875"/>
      <c r="H299" s="875"/>
      <c r="I299" s="875"/>
      <c r="J299" s="875"/>
      <c r="K299" s="875"/>
    </row>
    <row r="300" spans="1:26">
      <c r="A300" s="875"/>
      <c r="B300" s="875"/>
      <c r="C300" s="875"/>
      <c r="D300" s="875"/>
      <c r="E300" s="875"/>
      <c r="F300" s="875"/>
      <c r="G300" s="875"/>
      <c r="H300" s="875"/>
      <c r="I300" s="875"/>
      <c r="J300" s="875"/>
      <c r="K300" s="875"/>
    </row>
    <row r="301" spans="1:26">
      <c r="A301" s="865"/>
      <c r="B301" s="865"/>
      <c r="C301" s="865"/>
      <c r="D301" s="865" t="s">
        <v>418</v>
      </c>
      <c r="E301" s="865"/>
      <c r="F301" s="865"/>
      <c r="G301" s="865"/>
      <c r="H301" s="865"/>
      <c r="I301" s="865"/>
      <c r="J301" s="865"/>
      <c r="K301" s="865"/>
    </row>
    <row r="302" spans="1:26">
      <c r="A302" s="865"/>
      <c r="B302" s="865"/>
      <c r="C302" s="865"/>
      <c r="D302" s="865" t="s">
        <v>417</v>
      </c>
      <c r="E302" s="865"/>
      <c r="F302" s="865" t="s">
        <v>742</v>
      </c>
      <c r="G302" s="865"/>
      <c r="H302" s="865" t="s">
        <v>743</v>
      </c>
      <c r="I302" s="865"/>
      <c r="J302" s="865" t="s">
        <v>744</v>
      </c>
      <c r="K302" s="865"/>
    </row>
    <row r="303" spans="1:26" ht="37" customHeight="1">
      <c r="A303" s="876" t="s">
        <v>745</v>
      </c>
      <c r="B303" s="876"/>
      <c r="C303" s="876"/>
      <c r="D303" s="864">
        <v>1177528.28</v>
      </c>
      <c r="E303" s="865"/>
      <c r="F303" s="864">
        <v>1394743.18</v>
      </c>
      <c r="G303" s="865"/>
      <c r="H303" s="864">
        <v>1726726.93</v>
      </c>
      <c r="I303" s="865"/>
      <c r="J303" s="864">
        <v>1858968.69</v>
      </c>
      <c r="K303" s="865"/>
    </row>
    <row r="304" spans="1:26" ht="25" customHeight="1">
      <c r="B304" s="870" t="s">
        <v>747</v>
      </c>
      <c r="C304" s="870"/>
      <c r="D304" s="870"/>
      <c r="E304" s="870"/>
      <c r="F304" s="870"/>
      <c r="G304" s="870"/>
      <c r="H304" s="870"/>
      <c r="I304" s="870"/>
      <c r="J304" s="870"/>
      <c r="K304" s="870"/>
      <c r="L304" s="870"/>
      <c r="M304" s="870"/>
      <c r="N304" s="870"/>
      <c r="O304" s="870"/>
      <c r="P304" s="870"/>
      <c r="Q304" s="870"/>
      <c r="R304" s="870"/>
      <c r="S304" s="870"/>
      <c r="T304" s="870"/>
      <c r="U304" s="870"/>
      <c r="V304" s="870"/>
      <c r="W304" s="870"/>
      <c r="X304" s="870"/>
      <c r="Y304" s="870"/>
      <c r="Z304" s="870"/>
    </row>
    <row r="305" spans="1:26" ht="19" customHeight="1">
      <c r="A305" s="487"/>
      <c r="B305" s="870"/>
      <c r="C305" s="870"/>
      <c r="D305" s="870"/>
      <c r="E305" s="870"/>
      <c r="F305" s="870"/>
      <c r="G305" s="870"/>
      <c r="H305" s="870"/>
      <c r="I305" s="870"/>
      <c r="J305" s="870"/>
      <c r="K305" s="870"/>
      <c r="L305" s="870"/>
      <c r="M305" s="870"/>
      <c r="N305" s="870"/>
      <c r="O305" s="870"/>
      <c r="P305" s="870"/>
      <c r="Q305" s="870"/>
      <c r="R305" s="870"/>
      <c r="S305" s="870"/>
      <c r="T305" s="870"/>
      <c r="U305" s="870"/>
      <c r="V305" s="870"/>
      <c r="W305" s="870"/>
      <c r="X305" s="870"/>
      <c r="Y305" s="870"/>
      <c r="Z305" s="870"/>
    </row>
    <row r="306" spans="1:26" ht="18">
      <c r="A306" s="487"/>
      <c r="B306" s="488"/>
      <c r="C306" s="489"/>
      <c r="D306" s="490"/>
      <c r="E306" s="489"/>
      <c r="F306" s="489"/>
      <c r="G306" s="489"/>
      <c r="H306" s="489"/>
      <c r="I306" s="489"/>
      <c r="J306" s="489"/>
      <c r="K306" s="491"/>
      <c r="L306" s="491"/>
      <c r="M306" s="491"/>
      <c r="N306" s="491"/>
      <c r="O306" s="491"/>
      <c r="P306" s="491"/>
      <c r="Q306" s="491"/>
      <c r="R306" s="491"/>
      <c r="S306" s="491"/>
      <c r="T306" s="491"/>
      <c r="U306" s="491"/>
      <c r="V306" s="491"/>
      <c r="W306" s="491"/>
      <c r="X306" s="491"/>
      <c r="Y306" s="491"/>
      <c r="Z306" s="492"/>
    </row>
    <row r="307" spans="1:26" ht="16">
      <c r="A307" s="493"/>
      <c r="B307" s="493"/>
      <c r="C307" s="489"/>
      <c r="D307" s="489"/>
      <c r="E307" s="489"/>
      <c r="F307" s="489"/>
      <c r="G307" s="489"/>
      <c r="H307" s="489"/>
      <c r="I307" s="489"/>
      <c r="J307" s="489"/>
      <c r="K307" s="491"/>
      <c r="L307" s="491"/>
      <c r="M307" s="491"/>
      <c r="N307" s="491"/>
      <c r="O307" s="491"/>
      <c r="P307" s="491"/>
      <c r="Q307" s="491"/>
      <c r="R307" s="491"/>
      <c r="S307" s="491"/>
      <c r="T307" s="491"/>
      <c r="U307" s="491"/>
      <c r="V307" s="491"/>
      <c r="W307" s="491"/>
      <c r="X307" s="491"/>
      <c r="Y307" s="493"/>
      <c r="Z307" s="494"/>
    </row>
    <row r="308" spans="1:26" ht="16">
      <c r="A308" s="495" t="s">
        <v>711</v>
      </c>
      <c r="B308" s="866" t="s">
        <v>712</v>
      </c>
      <c r="C308" s="866"/>
      <c r="D308" s="866"/>
      <c r="E308" s="866"/>
      <c r="F308" s="866"/>
      <c r="G308" s="866"/>
      <c r="H308" s="866"/>
      <c r="I308" s="866"/>
      <c r="J308" s="866"/>
      <c r="K308" s="866"/>
      <c r="L308" s="866"/>
      <c r="M308" s="866"/>
      <c r="N308" s="866"/>
      <c r="O308" s="866"/>
      <c r="P308" s="866"/>
      <c r="Q308" s="866"/>
      <c r="R308" s="866"/>
      <c r="S308" s="866"/>
      <c r="T308" s="866"/>
      <c r="U308" s="866"/>
      <c r="V308" s="866"/>
      <c r="W308" s="866"/>
      <c r="X308" s="866"/>
      <c r="Y308" s="866"/>
      <c r="Z308" s="496"/>
    </row>
    <row r="309" spans="1:26" ht="17">
      <c r="A309" s="497" t="s">
        <v>280</v>
      </c>
      <c r="B309" s="498" t="s">
        <v>713</v>
      </c>
      <c r="C309" s="498" t="s">
        <v>714</v>
      </c>
      <c r="D309" s="498" t="s">
        <v>715</v>
      </c>
      <c r="E309" s="498" t="s">
        <v>716</v>
      </c>
      <c r="F309" s="498" t="s">
        <v>717</v>
      </c>
      <c r="G309" s="498" t="s">
        <v>718</v>
      </c>
      <c r="H309" s="498" t="s">
        <v>719</v>
      </c>
      <c r="I309" s="498" t="s">
        <v>720</v>
      </c>
      <c r="J309" s="498" t="s">
        <v>721</v>
      </c>
      <c r="K309" s="498" t="s">
        <v>722</v>
      </c>
      <c r="L309" s="498" t="s">
        <v>723</v>
      </c>
      <c r="M309" s="498" t="s">
        <v>724</v>
      </c>
      <c r="N309" s="498" t="s">
        <v>725</v>
      </c>
      <c r="O309" s="498" t="s">
        <v>726</v>
      </c>
      <c r="P309" s="498" t="s">
        <v>727</v>
      </c>
      <c r="Q309" s="498" t="s">
        <v>728</v>
      </c>
      <c r="R309" s="498" t="s">
        <v>729</v>
      </c>
      <c r="S309" s="498" t="s">
        <v>730</v>
      </c>
      <c r="T309" s="498" t="s">
        <v>731</v>
      </c>
      <c r="U309" s="498" t="s">
        <v>732</v>
      </c>
      <c r="V309" s="498" t="s">
        <v>733</v>
      </c>
      <c r="W309" s="498" t="s">
        <v>734</v>
      </c>
      <c r="X309" s="498" t="s">
        <v>735</v>
      </c>
      <c r="Y309" s="498" t="s">
        <v>736</v>
      </c>
      <c r="Z309" s="499"/>
    </row>
    <row r="310" spans="1:26">
      <c r="A310" s="500">
        <v>45047</v>
      </c>
      <c r="B310" s="501">
        <v>2082.7199999999998</v>
      </c>
      <c r="C310" s="501">
        <v>1981.46</v>
      </c>
      <c r="D310" s="501">
        <v>1916.33</v>
      </c>
      <c r="E310" s="501">
        <v>1860.15</v>
      </c>
      <c r="F310" s="501">
        <v>1845.08</v>
      </c>
      <c r="G310" s="501">
        <v>1869.26</v>
      </c>
      <c r="H310" s="501">
        <v>1923.83</v>
      </c>
      <c r="I310" s="501">
        <v>2057.62</v>
      </c>
      <c r="J310" s="501">
        <v>2279.16</v>
      </c>
      <c r="K310" s="501">
        <v>2416.27</v>
      </c>
      <c r="L310" s="501">
        <v>2422.5100000000002</v>
      </c>
      <c r="M310" s="501">
        <v>2408.7199999999998</v>
      </c>
      <c r="N310" s="501">
        <v>2392.0700000000002</v>
      </c>
      <c r="O310" s="501">
        <v>2382.5700000000002</v>
      </c>
      <c r="P310" s="501">
        <v>2360.66</v>
      </c>
      <c r="Q310" s="501">
        <v>2341.2600000000002</v>
      </c>
      <c r="R310" s="501">
        <v>2338.92</v>
      </c>
      <c r="S310" s="501">
        <v>2352.64</v>
      </c>
      <c r="T310" s="501">
        <v>2417.4699999999998</v>
      </c>
      <c r="U310" s="501">
        <v>2478.65</v>
      </c>
      <c r="V310" s="501">
        <v>2509.2399999999998</v>
      </c>
      <c r="W310" s="501">
        <v>2450.16</v>
      </c>
      <c r="X310" s="501">
        <v>2353.94</v>
      </c>
      <c r="Y310" s="501">
        <v>2155.1</v>
      </c>
      <c r="Z310" s="502"/>
    </row>
    <row r="311" spans="1:26">
      <c r="A311" s="500">
        <v>45048</v>
      </c>
      <c r="B311" s="501">
        <v>1917.33</v>
      </c>
      <c r="C311" s="501">
        <v>1772.07</v>
      </c>
      <c r="D311" s="501">
        <v>1699.26</v>
      </c>
      <c r="E311" s="501">
        <v>1704.66</v>
      </c>
      <c r="F311" s="501">
        <v>1743.49</v>
      </c>
      <c r="G311" s="501">
        <v>1873.62</v>
      </c>
      <c r="H311" s="501">
        <v>2076.48</v>
      </c>
      <c r="I311" s="501">
        <v>2305.63</v>
      </c>
      <c r="J311" s="501">
        <v>2437.21</v>
      </c>
      <c r="K311" s="501">
        <v>2440.9</v>
      </c>
      <c r="L311" s="501">
        <v>2417.2399999999998</v>
      </c>
      <c r="M311" s="501">
        <v>2434.09</v>
      </c>
      <c r="N311" s="501">
        <v>2451.0700000000002</v>
      </c>
      <c r="O311" s="501">
        <v>2453.0700000000002</v>
      </c>
      <c r="P311" s="501">
        <v>2422.35</v>
      </c>
      <c r="Q311" s="501">
        <v>2385.21</v>
      </c>
      <c r="R311" s="501">
        <v>2364.19</v>
      </c>
      <c r="S311" s="501">
        <v>2355.65</v>
      </c>
      <c r="T311" s="501">
        <v>2352.77</v>
      </c>
      <c r="U311" s="501">
        <v>2359.08</v>
      </c>
      <c r="V311" s="501">
        <v>2374.81</v>
      </c>
      <c r="W311" s="501">
        <v>2351.0300000000002</v>
      </c>
      <c r="X311" s="501">
        <v>2181.4699999999998</v>
      </c>
      <c r="Y311" s="501">
        <v>1930.19</v>
      </c>
      <c r="Z311" s="502"/>
    </row>
    <row r="312" spans="1:26">
      <c r="A312" s="500">
        <v>45049</v>
      </c>
      <c r="B312" s="501">
        <v>1796.41</v>
      </c>
      <c r="C312" s="501">
        <v>1678.93</v>
      </c>
      <c r="D312" s="501">
        <v>1666.94</v>
      </c>
      <c r="E312" s="501">
        <v>1676.18</v>
      </c>
      <c r="F312" s="501">
        <v>1709.83</v>
      </c>
      <c r="G312" s="501">
        <v>1829.91</v>
      </c>
      <c r="H312" s="501">
        <v>2014.68</v>
      </c>
      <c r="I312" s="501">
        <v>2213.86</v>
      </c>
      <c r="J312" s="501">
        <v>2366.9</v>
      </c>
      <c r="K312" s="501">
        <v>2416.11</v>
      </c>
      <c r="L312" s="501">
        <v>2413.0700000000002</v>
      </c>
      <c r="M312" s="501">
        <v>2398.77</v>
      </c>
      <c r="N312" s="501">
        <v>2403.12</v>
      </c>
      <c r="O312" s="501">
        <v>2409.4499999999998</v>
      </c>
      <c r="P312" s="501">
        <v>2396.36</v>
      </c>
      <c r="Q312" s="501">
        <v>2393.98</v>
      </c>
      <c r="R312" s="501">
        <v>2404.83</v>
      </c>
      <c r="S312" s="501">
        <v>2397.42</v>
      </c>
      <c r="T312" s="501">
        <v>2377.6799999999998</v>
      </c>
      <c r="U312" s="501">
        <v>2395.1</v>
      </c>
      <c r="V312" s="501">
        <v>2391.84</v>
      </c>
      <c r="W312" s="501">
        <v>2357.9299999999998</v>
      </c>
      <c r="X312" s="501">
        <v>2152.2600000000002</v>
      </c>
      <c r="Y312" s="501">
        <v>1956.92</v>
      </c>
      <c r="Z312" s="502"/>
    </row>
    <row r="313" spans="1:26">
      <c r="A313" s="500">
        <v>45050</v>
      </c>
      <c r="B313" s="501">
        <v>1754.73</v>
      </c>
      <c r="C313" s="501">
        <v>1665.58</v>
      </c>
      <c r="D313" s="501">
        <v>1610.87</v>
      </c>
      <c r="E313" s="501">
        <v>1604.6</v>
      </c>
      <c r="F313" s="501">
        <v>1664.61</v>
      </c>
      <c r="G313" s="501">
        <v>1746.72</v>
      </c>
      <c r="H313" s="501">
        <v>1950.8</v>
      </c>
      <c r="I313" s="501">
        <v>2162.9699999999998</v>
      </c>
      <c r="J313" s="501">
        <v>2232.4899999999998</v>
      </c>
      <c r="K313" s="501">
        <v>2307.44</v>
      </c>
      <c r="L313" s="501">
        <v>2341.92</v>
      </c>
      <c r="M313" s="501">
        <v>2340.1</v>
      </c>
      <c r="N313" s="501">
        <v>2344.0500000000002</v>
      </c>
      <c r="O313" s="501">
        <v>2345.3200000000002</v>
      </c>
      <c r="P313" s="501">
        <v>2332.29</v>
      </c>
      <c r="Q313" s="501">
        <v>2308.19</v>
      </c>
      <c r="R313" s="501">
        <v>2285.56</v>
      </c>
      <c r="S313" s="501">
        <v>2257.21</v>
      </c>
      <c r="T313" s="501">
        <v>2221.5300000000002</v>
      </c>
      <c r="U313" s="501">
        <v>2288.1999999999998</v>
      </c>
      <c r="V313" s="501">
        <v>2333.09</v>
      </c>
      <c r="W313" s="501">
        <v>2329.66</v>
      </c>
      <c r="X313" s="501">
        <v>2179.48</v>
      </c>
      <c r="Y313" s="501">
        <v>1979.71</v>
      </c>
      <c r="Z313" s="502"/>
    </row>
    <row r="314" spans="1:26">
      <c r="A314" s="500">
        <v>45051</v>
      </c>
      <c r="B314" s="501">
        <v>1935.4</v>
      </c>
      <c r="C314" s="501">
        <v>1782.24</v>
      </c>
      <c r="D314" s="501">
        <v>1722.75</v>
      </c>
      <c r="E314" s="501">
        <v>1709.26</v>
      </c>
      <c r="F314" s="501">
        <v>1770.15</v>
      </c>
      <c r="G314" s="501">
        <v>1907.65</v>
      </c>
      <c r="H314" s="501">
        <v>2030.76</v>
      </c>
      <c r="I314" s="501">
        <v>2218.96</v>
      </c>
      <c r="J314" s="501">
        <v>2361.52</v>
      </c>
      <c r="K314" s="501">
        <v>2401.8000000000002</v>
      </c>
      <c r="L314" s="501">
        <v>2429.92</v>
      </c>
      <c r="M314" s="501">
        <v>2457.04</v>
      </c>
      <c r="N314" s="501">
        <v>2444.6</v>
      </c>
      <c r="O314" s="501">
        <v>2460.5100000000002</v>
      </c>
      <c r="P314" s="501">
        <v>2441.5500000000002</v>
      </c>
      <c r="Q314" s="501">
        <v>2414.36</v>
      </c>
      <c r="R314" s="501">
        <v>2395.73</v>
      </c>
      <c r="S314" s="501">
        <v>2379.89</v>
      </c>
      <c r="T314" s="501">
        <v>2365.98</v>
      </c>
      <c r="U314" s="501">
        <v>2362.2399999999998</v>
      </c>
      <c r="V314" s="501">
        <v>2369.6799999999998</v>
      </c>
      <c r="W314" s="501">
        <v>2366.02</v>
      </c>
      <c r="X314" s="501">
        <v>2251.44</v>
      </c>
      <c r="Y314" s="501">
        <v>2077.84</v>
      </c>
      <c r="Z314" s="502"/>
    </row>
    <row r="315" spans="1:26">
      <c r="A315" s="500">
        <v>45052</v>
      </c>
      <c r="B315" s="501">
        <v>2030.55</v>
      </c>
      <c r="C315" s="501">
        <v>1975.58</v>
      </c>
      <c r="D315" s="501">
        <v>1887.62</v>
      </c>
      <c r="E315" s="501">
        <v>1783.59</v>
      </c>
      <c r="F315" s="501">
        <v>1789.46</v>
      </c>
      <c r="G315" s="501">
        <v>1893.92</v>
      </c>
      <c r="H315" s="501">
        <v>1957.82</v>
      </c>
      <c r="I315" s="501">
        <v>2053.6</v>
      </c>
      <c r="J315" s="501">
        <v>2310.39</v>
      </c>
      <c r="K315" s="501">
        <v>2408.5300000000002</v>
      </c>
      <c r="L315" s="501">
        <v>2449.4899999999998</v>
      </c>
      <c r="M315" s="501">
        <v>2425.37</v>
      </c>
      <c r="N315" s="501">
        <v>2392.35</v>
      </c>
      <c r="O315" s="501">
        <v>2385.61</v>
      </c>
      <c r="P315" s="501">
        <v>2376.6</v>
      </c>
      <c r="Q315" s="501">
        <v>2374.08</v>
      </c>
      <c r="R315" s="501">
        <v>2360.9</v>
      </c>
      <c r="S315" s="501">
        <v>2340.4899999999998</v>
      </c>
      <c r="T315" s="501">
        <v>2339.33</v>
      </c>
      <c r="U315" s="501">
        <v>2390.1</v>
      </c>
      <c r="V315" s="501">
        <v>2412.4499999999998</v>
      </c>
      <c r="W315" s="501">
        <v>2369.12</v>
      </c>
      <c r="X315" s="501">
        <v>2309.65</v>
      </c>
      <c r="Y315" s="501">
        <v>2102.6999999999998</v>
      </c>
      <c r="Z315" s="502"/>
    </row>
    <row r="316" spans="1:26">
      <c r="A316" s="500">
        <v>45053</v>
      </c>
      <c r="B316" s="501">
        <v>1999.17</v>
      </c>
      <c r="C316" s="501">
        <v>1878.89</v>
      </c>
      <c r="D316" s="501">
        <v>1773.71</v>
      </c>
      <c r="E316" s="501">
        <v>1728.61</v>
      </c>
      <c r="F316" s="501">
        <v>1716.5</v>
      </c>
      <c r="G316" s="501">
        <v>1692.41</v>
      </c>
      <c r="H316" s="501">
        <v>1818.38</v>
      </c>
      <c r="I316" s="501">
        <v>1907.59</v>
      </c>
      <c r="J316" s="501">
        <v>2041.11</v>
      </c>
      <c r="K316" s="501">
        <v>2148.33</v>
      </c>
      <c r="L316" s="501">
        <v>2165.92</v>
      </c>
      <c r="M316" s="501">
        <v>2167.11</v>
      </c>
      <c r="N316" s="501">
        <v>2161.94</v>
      </c>
      <c r="O316" s="501">
        <v>2154.09</v>
      </c>
      <c r="P316" s="501">
        <v>2147.7800000000002</v>
      </c>
      <c r="Q316" s="501">
        <v>2147.7199999999998</v>
      </c>
      <c r="R316" s="501">
        <v>2150.1</v>
      </c>
      <c r="S316" s="501">
        <v>2152.31</v>
      </c>
      <c r="T316" s="501">
        <v>2180.92</v>
      </c>
      <c r="U316" s="501">
        <v>2240.48</v>
      </c>
      <c r="V316" s="501">
        <v>2325.8200000000002</v>
      </c>
      <c r="W316" s="501">
        <v>2249.4299999999998</v>
      </c>
      <c r="X316" s="501">
        <v>2191.33</v>
      </c>
      <c r="Y316" s="501">
        <v>2009.1</v>
      </c>
      <c r="Z316" s="502"/>
    </row>
    <row r="317" spans="1:26">
      <c r="A317" s="500">
        <v>45054</v>
      </c>
      <c r="B317" s="501">
        <v>1992.81</v>
      </c>
      <c r="C317" s="501">
        <v>1907.1</v>
      </c>
      <c r="D317" s="501">
        <v>1804.16</v>
      </c>
      <c r="E317" s="501">
        <v>1649.25</v>
      </c>
      <c r="F317" s="501">
        <v>1639.39</v>
      </c>
      <c r="G317" s="501">
        <v>1660.11</v>
      </c>
      <c r="H317" s="501">
        <v>1860.5</v>
      </c>
      <c r="I317" s="501">
        <v>1970.74</v>
      </c>
      <c r="J317" s="501">
        <v>2148.75</v>
      </c>
      <c r="K317" s="501">
        <v>2302.8000000000002</v>
      </c>
      <c r="L317" s="501">
        <v>2327</v>
      </c>
      <c r="M317" s="501">
        <v>2326.6</v>
      </c>
      <c r="N317" s="501">
        <v>2316.3200000000002</v>
      </c>
      <c r="O317" s="501">
        <v>2311.66</v>
      </c>
      <c r="P317" s="501">
        <v>2308.14</v>
      </c>
      <c r="Q317" s="501">
        <v>2304.0100000000002</v>
      </c>
      <c r="R317" s="501">
        <v>2294.7600000000002</v>
      </c>
      <c r="S317" s="501">
        <v>2261.84</v>
      </c>
      <c r="T317" s="501">
        <v>2279.7600000000002</v>
      </c>
      <c r="U317" s="501">
        <v>2321.36</v>
      </c>
      <c r="V317" s="501">
        <v>2335.85</v>
      </c>
      <c r="W317" s="501">
        <v>2282.21</v>
      </c>
      <c r="X317" s="501">
        <v>2229.83</v>
      </c>
      <c r="Y317" s="501">
        <v>2076.23</v>
      </c>
      <c r="Z317" s="502"/>
    </row>
    <row r="318" spans="1:26">
      <c r="A318" s="500">
        <v>45055</v>
      </c>
      <c r="B318" s="501">
        <v>2028.65</v>
      </c>
      <c r="C318" s="501">
        <v>1941.01</v>
      </c>
      <c r="D318" s="501">
        <v>1891.79</v>
      </c>
      <c r="E318" s="501">
        <v>1857.04</v>
      </c>
      <c r="F318" s="501">
        <v>1833.4</v>
      </c>
      <c r="G318" s="501">
        <v>1836.94</v>
      </c>
      <c r="H318" s="501">
        <v>1880.18</v>
      </c>
      <c r="I318" s="501">
        <v>1973.24</v>
      </c>
      <c r="J318" s="501">
        <v>2187.9499999999998</v>
      </c>
      <c r="K318" s="501">
        <v>2270.29</v>
      </c>
      <c r="L318" s="501">
        <v>2316.41</v>
      </c>
      <c r="M318" s="501">
        <v>2296.9499999999998</v>
      </c>
      <c r="N318" s="501">
        <v>2290.19</v>
      </c>
      <c r="O318" s="501">
        <v>2286.85</v>
      </c>
      <c r="P318" s="501">
        <v>2282.62</v>
      </c>
      <c r="Q318" s="501">
        <v>2274.09</v>
      </c>
      <c r="R318" s="501">
        <v>2246.46</v>
      </c>
      <c r="S318" s="501">
        <v>2245.96</v>
      </c>
      <c r="T318" s="501">
        <v>2262.06</v>
      </c>
      <c r="U318" s="501">
        <v>2305.19</v>
      </c>
      <c r="V318" s="501">
        <v>2361.8000000000002</v>
      </c>
      <c r="W318" s="501">
        <v>2345.75</v>
      </c>
      <c r="X318" s="501">
        <v>2303.5500000000002</v>
      </c>
      <c r="Y318" s="501">
        <v>2129.02</v>
      </c>
      <c r="Z318" s="502"/>
    </row>
    <row r="319" spans="1:26">
      <c r="A319" s="500">
        <v>45056</v>
      </c>
      <c r="B319" s="501">
        <v>2105.5100000000002</v>
      </c>
      <c r="C319" s="501">
        <v>1957.62</v>
      </c>
      <c r="D319" s="501">
        <v>1893.62</v>
      </c>
      <c r="E319" s="501">
        <v>1859.19</v>
      </c>
      <c r="F319" s="501">
        <v>1892.2</v>
      </c>
      <c r="G319" s="501">
        <v>1970.81</v>
      </c>
      <c r="H319" s="501">
        <v>2155.9499999999998</v>
      </c>
      <c r="I319" s="501">
        <v>2390.04</v>
      </c>
      <c r="J319" s="501">
        <v>2440.75</v>
      </c>
      <c r="K319" s="501">
        <v>2444.0500000000002</v>
      </c>
      <c r="L319" s="501">
        <v>2435.1</v>
      </c>
      <c r="M319" s="501">
        <v>2469.1999999999998</v>
      </c>
      <c r="N319" s="501">
        <v>2476.34</v>
      </c>
      <c r="O319" s="501">
        <v>2483.1999999999998</v>
      </c>
      <c r="P319" s="501">
        <v>2467.85</v>
      </c>
      <c r="Q319" s="501">
        <v>2457.35</v>
      </c>
      <c r="R319" s="501">
        <v>2436.61</v>
      </c>
      <c r="S319" s="501">
        <v>2416.54</v>
      </c>
      <c r="T319" s="501">
        <v>2409.79</v>
      </c>
      <c r="U319" s="501">
        <v>2396.0500000000002</v>
      </c>
      <c r="V319" s="501">
        <v>2407.3200000000002</v>
      </c>
      <c r="W319" s="501">
        <v>2412.16</v>
      </c>
      <c r="X319" s="501">
        <v>2231.0100000000002</v>
      </c>
      <c r="Y319" s="501">
        <v>2125.21</v>
      </c>
      <c r="Z319" s="502"/>
    </row>
    <row r="320" spans="1:26">
      <c r="A320" s="500">
        <v>45057</v>
      </c>
      <c r="B320" s="501">
        <v>1810.51</v>
      </c>
      <c r="C320" s="501">
        <v>1692.68</v>
      </c>
      <c r="D320" s="501">
        <v>1656.34</v>
      </c>
      <c r="E320" s="501">
        <v>1623.48</v>
      </c>
      <c r="F320" s="501">
        <v>1654.23</v>
      </c>
      <c r="G320" s="501">
        <v>1756.42</v>
      </c>
      <c r="H320" s="501">
        <v>2315.5100000000002</v>
      </c>
      <c r="I320" s="501">
        <v>2330.66</v>
      </c>
      <c r="J320" s="501">
        <v>2423.3000000000002</v>
      </c>
      <c r="K320" s="501">
        <v>2426.23</v>
      </c>
      <c r="L320" s="501">
        <v>2380.58</v>
      </c>
      <c r="M320" s="501">
        <v>2425.6999999999998</v>
      </c>
      <c r="N320" s="501">
        <v>2434.7399999999998</v>
      </c>
      <c r="O320" s="501">
        <v>2422.61</v>
      </c>
      <c r="P320" s="501">
        <v>2396.25</v>
      </c>
      <c r="Q320" s="501">
        <v>2322.36</v>
      </c>
      <c r="R320" s="501">
        <v>2270.46</v>
      </c>
      <c r="S320" s="501">
        <v>2254.25</v>
      </c>
      <c r="T320" s="501">
        <v>2237.37</v>
      </c>
      <c r="U320" s="501">
        <v>2249.2199999999998</v>
      </c>
      <c r="V320" s="501">
        <v>2278.81</v>
      </c>
      <c r="W320" s="501">
        <v>2279.2600000000002</v>
      </c>
      <c r="X320" s="501">
        <v>2148.58</v>
      </c>
      <c r="Y320" s="501">
        <v>1905.6</v>
      </c>
      <c r="Z320" s="502"/>
    </row>
    <row r="321" spans="1:26">
      <c r="A321" s="500">
        <v>45058</v>
      </c>
      <c r="B321" s="501">
        <v>1794.36</v>
      </c>
      <c r="C321" s="501">
        <v>1678.41</v>
      </c>
      <c r="D321" s="501">
        <v>1623.4</v>
      </c>
      <c r="E321" s="501">
        <v>1585.77</v>
      </c>
      <c r="F321" s="501">
        <v>1674.19</v>
      </c>
      <c r="G321" s="501">
        <v>2051.27</v>
      </c>
      <c r="H321" s="501">
        <v>2486.65</v>
      </c>
      <c r="I321" s="501">
        <v>2525.87</v>
      </c>
      <c r="J321" s="501">
        <v>2545.58</v>
      </c>
      <c r="K321" s="501">
        <v>2548.98</v>
      </c>
      <c r="L321" s="501">
        <v>2544.36</v>
      </c>
      <c r="M321" s="501">
        <v>2534.4699999999998</v>
      </c>
      <c r="N321" s="501">
        <v>2539.42</v>
      </c>
      <c r="O321" s="501">
        <v>2536.67</v>
      </c>
      <c r="P321" s="501">
        <v>2621.59</v>
      </c>
      <c r="Q321" s="501">
        <v>2624.86</v>
      </c>
      <c r="R321" s="501">
        <v>2440.54</v>
      </c>
      <c r="S321" s="501">
        <v>2437.83</v>
      </c>
      <c r="T321" s="501">
        <v>2424.7199999999998</v>
      </c>
      <c r="U321" s="501">
        <v>2423.9299999999998</v>
      </c>
      <c r="V321" s="501">
        <v>2434.9299999999998</v>
      </c>
      <c r="W321" s="501">
        <v>2397.9499999999998</v>
      </c>
      <c r="X321" s="501">
        <v>2240.42</v>
      </c>
      <c r="Y321" s="501">
        <v>2136.59</v>
      </c>
      <c r="Z321" s="502"/>
    </row>
    <row r="322" spans="1:26">
      <c r="A322" s="500">
        <v>45059</v>
      </c>
      <c r="B322" s="501">
        <v>2081.63</v>
      </c>
      <c r="C322" s="501">
        <v>1856.77</v>
      </c>
      <c r="D322" s="501">
        <v>1727.76</v>
      </c>
      <c r="E322" s="501">
        <v>1701.94</v>
      </c>
      <c r="F322" s="501">
        <v>1701.27</v>
      </c>
      <c r="G322" s="501">
        <v>1729.01</v>
      </c>
      <c r="H322" s="501">
        <v>1896.69</v>
      </c>
      <c r="I322" s="501">
        <v>2062.67</v>
      </c>
      <c r="J322" s="501">
        <v>2233.2800000000002</v>
      </c>
      <c r="K322" s="501">
        <v>2432.29</v>
      </c>
      <c r="L322" s="501">
        <v>2440.6</v>
      </c>
      <c r="M322" s="501">
        <v>2440.77</v>
      </c>
      <c r="N322" s="501">
        <v>2432.06</v>
      </c>
      <c r="O322" s="501">
        <v>2422.1799999999998</v>
      </c>
      <c r="P322" s="501">
        <v>2419.14</v>
      </c>
      <c r="Q322" s="501">
        <v>2403.62</v>
      </c>
      <c r="R322" s="501">
        <v>2361.3000000000002</v>
      </c>
      <c r="S322" s="501">
        <v>2315.21</v>
      </c>
      <c r="T322" s="501">
        <v>2311.46</v>
      </c>
      <c r="U322" s="501">
        <v>2352.5700000000002</v>
      </c>
      <c r="V322" s="501">
        <v>2371.38</v>
      </c>
      <c r="W322" s="501">
        <v>2330.96</v>
      </c>
      <c r="X322" s="501">
        <v>2267.0700000000002</v>
      </c>
      <c r="Y322" s="501">
        <v>2109.15</v>
      </c>
      <c r="Z322" s="502"/>
    </row>
    <row r="323" spans="1:26">
      <c r="A323" s="500">
        <v>45060</v>
      </c>
      <c r="B323" s="501">
        <v>1933.47</v>
      </c>
      <c r="C323" s="501">
        <v>1757.18</v>
      </c>
      <c r="D323" s="501">
        <v>1685.72</v>
      </c>
      <c r="E323" s="501">
        <v>1670.02</v>
      </c>
      <c r="F323" s="501">
        <v>1662.03</v>
      </c>
      <c r="G323" s="501">
        <v>1599.73</v>
      </c>
      <c r="H323" s="501">
        <v>1597.81</v>
      </c>
      <c r="I323" s="501">
        <v>1799.26</v>
      </c>
      <c r="J323" s="501">
        <v>2045.26</v>
      </c>
      <c r="K323" s="501">
        <v>2164.39</v>
      </c>
      <c r="L323" s="501">
        <v>2192</v>
      </c>
      <c r="M323" s="501">
        <v>2195.4299999999998</v>
      </c>
      <c r="N323" s="501">
        <v>2191.0100000000002</v>
      </c>
      <c r="O323" s="501">
        <v>2187.83</v>
      </c>
      <c r="P323" s="501">
        <v>2183.75</v>
      </c>
      <c r="Q323" s="501">
        <v>2188.16</v>
      </c>
      <c r="R323" s="501">
        <v>2189</v>
      </c>
      <c r="S323" s="501">
        <v>2166.88</v>
      </c>
      <c r="T323" s="501">
        <v>2196.9299999999998</v>
      </c>
      <c r="U323" s="501">
        <v>2267.2600000000002</v>
      </c>
      <c r="V323" s="501">
        <v>2309.4499999999998</v>
      </c>
      <c r="W323" s="501">
        <v>2267.71</v>
      </c>
      <c r="X323" s="501">
        <v>2203.2399999999998</v>
      </c>
      <c r="Y323" s="501">
        <v>2066.02</v>
      </c>
      <c r="Z323" s="502"/>
    </row>
    <row r="324" spans="1:26">
      <c r="A324" s="500">
        <v>45061</v>
      </c>
      <c r="B324" s="501">
        <v>1897.49</v>
      </c>
      <c r="C324" s="501">
        <v>1729.01</v>
      </c>
      <c r="D324" s="501">
        <v>1677.96</v>
      </c>
      <c r="E324" s="501">
        <v>1658.79</v>
      </c>
      <c r="F324" s="501">
        <v>1704.04</v>
      </c>
      <c r="G324" s="501">
        <v>1798.37</v>
      </c>
      <c r="H324" s="501">
        <v>2039.63</v>
      </c>
      <c r="I324" s="501">
        <v>2236.85</v>
      </c>
      <c r="J324" s="501">
        <v>2479.5500000000002</v>
      </c>
      <c r="K324" s="501">
        <v>2512.6</v>
      </c>
      <c r="L324" s="501">
        <v>2492.5700000000002</v>
      </c>
      <c r="M324" s="501">
        <v>2503.75</v>
      </c>
      <c r="N324" s="501">
        <v>2503.16</v>
      </c>
      <c r="O324" s="501">
        <v>2523.6999999999998</v>
      </c>
      <c r="P324" s="501">
        <v>2479.86</v>
      </c>
      <c r="Q324" s="501">
        <v>2453.84</v>
      </c>
      <c r="R324" s="501">
        <v>2435.2199999999998</v>
      </c>
      <c r="S324" s="501">
        <v>2407.5</v>
      </c>
      <c r="T324" s="501">
        <v>2380.0700000000002</v>
      </c>
      <c r="U324" s="501">
        <v>2375.9899999999998</v>
      </c>
      <c r="V324" s="501">
        <v>2403.61</v>
      </c>
      <c r="W324" s="501">
        <v>2414.31</v>
      </c>
      <c r="X324" s="501">
        <v>2216.81</v>
      </c>
      <c r="Y324" s="501">
        <v>2087.0100000000002</v>
      </c>
      <c r="Z324" s="502"/>
    </row>
    <row r="325" spans="1:26">
      <c r="A325" s="500">
        <v>45062</v>
      </c>
      <c r="B325" s="501">
        <v>1844.4</v>
      </c>
      <c r="C325" s="501">
        <v>1769.3</v>
      </c>
      <c r="D325" s="501">
        <v>1697.7</v>
      </c>
      <c r="E325" s="501">
        <v>1687.1</v>
      </c>
      <c r="F325" s="501">
        <v>1724.61</v>
      </c>
      <c r="G325" s="501">
        <v>1884.06</v>
      </c>
      <c r="H325" s="501">
        <v>2073.4899999999998</v>
      </c>
      <c r="I325" s="501">
        <v>2230.92</v>
      </c>
      <c r="J325" s="501">
        <v>2443.86</v>
      </c>
      <c r="K325" s="501">
        <v>2467.4</v>
      </c>
      <c r="L325" s="501">
        <v>2449.77</v>
      </c>
      <c r="M325" s="501">
        <v>2445.4899999999998</v>
      </c>
      <c r="N325" s="501">
        <v>2436.41</v>
      </c>
      <c r="O325" s="501">
        <v>2464.9699999999998</v>
      </c>
      <c r="P325" s="501">
        <v>2437.42</v>
      </c>
      <c r="Q325" s="501">
        <v>2351.65</v>
      </c>
      <c r="R325" s="501">
        <v>2295.56</v>
      </c>
      <c r="S325" s="501">
        <v>2276.41</v>
      </c>
      <c r="T325" s="501">
        <v>2253.11</v>
      </c>
      <c r="U325" s="501">
        <v>2266.79</v>
      </c>
      <c r="V325" s="501">
        <v>2329.9</v>
      </c>
      <c r="W325" s="501">
        <v>2386.33</v>
      </c>
      <c r="X325" s="501">
        <v>2184.0300000000002</v>
      </c>
      <c r="Y325" s="501">
        <v>2000.6</v>
      </c>
      <c r="Z325" s="502"/>
    </row>
    <row r="326" spans="1:26">
      <c r="A326" s="500">
        <v>45063</v>
      </c>
      <c r="B326" s="501">
        <v>1767.41</v>
      </c>
      <c r="C326" s="501">
        <v>1685.65</v>
      </c>
      <c r="D326" s="501">
        <v>1626.59</v>
      </c>
      <c r="E326" s="501">
        <v>1584.87</v>
      </c>
      <c r="F326" s="501">
        <v>1628.32</v>
      </c>
      <c r="G326" s="501">
        <v>1755.89</v>
      </c>
      <c r="H326" s="501">
        <v>2024.73</v>
      </c>
      <c r="I326" s="501">
        <v>2199.56</v>
      </c>
      <c r="J326" s="501">
        <v>2391.2199999999998</v>
      </c>
      <c r="K326" s="501">
        <v>2453.96</v>
      </c>
      <c r="L326" s="501">
        <v>2415.71</v>
      </c>
      <c r="M326" s="501">
        <v>2450.9899999999998</v>
      </c>
      <c r="N326" s="501">
        <v>2439.81</v>
      </c>
      <c r="O326" s="501">
        <v>2452.48</v>
      </c>
      <c r="P326" s="501">
        <v>2397.17</v>
      </c>
      <c r="Q326" s="501">
        <v>2333.66</v>
      </c>
      <c r="R326" s="501">
        <v>2272.54</v>
      </c>
      <c r="S326" s="501">
        <v>2246.39</v>
      </c>
      <c r="T326" s="501">
        <v>2232.79</v>
      </c>
      <c r="U326" s="501">
        <v>2248.0500000000002</v>
      </c>
      <c r="V326" s="501">
        <v>2284.86</v>
      </c>
      <c r="W326" s="501">
        <v>2352.39</v>
      </c>
      <c r="X326" s="501">
        <v>2193.9899999999998</v>
      </c>
      <c r="Y326" s="501">
        <v>1949.49</v>
      </c>
      <c r="Z326" s="502"/>
    </row>
    <row r="327" spans="1:26">
      <c r="A327" s="500">
        <v>45064</v>
      </c>
      <c r="B327" s="501">
        <v>1815.54</v>
      </c>
      <c r="C327" s="501">
        <v>1734.55</v>
      </c>
      <c r="D327" s="501">
        <v>1637.93</v>
      </c>
      <c r="E327" s="501">
        <v>1621.48</v>
      </c>
      <c r="F327" s="501">
        <v>1698.44</v>
      </c>
      <c r="G327" s="501">
        <v>1804.62</v>
      </c>
      <c r="H327" s="501">
        <v>2000.55</v>
      </c>
      <c r="I327" s="501">
        <v>2199.4699999999998</v>
      </c>
      <c r="J327" s="501">
        <v>2389.66</v>
      </c>
      <c r="K327" s="501">
        <v>2429.16</v>
      </c>
      <c r="L327" s="501">
        <v>2406.8200000000002</v>
      </c>
      <c r="M327" s="501">
        <v>2414.0100000000002</v>
      </c>
      <c r="N327" s="501">
        <v>2410.2199999999998</v>
      </c>
      <c r="O327" s="501">
        <v>2425.3200000000002</v>
      </c>
      <c r="P327" s="501">
        <v>2412.39</v>
      </c>
      <c r="Q327" s="501">
        <v>2397.87</v>
      </c>
      <c r="R327" s="501">
        <v>2402.6799999999998</v>
      </c>
      <c r="S327" s="501">
        <v>2401.04</v>
      </c>
      <c r="T327" s="501">
        <v>2389.64</v>
      </c>
      <c r="U327" s="501">
        <v>2412.4299999999998</v>
      </c>
      <c r="V327" s="501">
        <v>2418.1799999999998</v>
      </c>
      <c r="W327" s="501">
        <v>2425.2600000000002</v>
      </c>
      <c r="X327" s="501">
        <v>2230.63</v>
      </c>
      <c r="Y327" s="501">
        <v>2069.35</v>
      </c>
      <c r="Z327" s="502"/>
    </row>
    <row r="328" spans="1:26">
      <c r="A328" s="500">
        <v>45065</v>
      </c>
      <c r="B328" s="501">
        <v>1810.88</v>
      </c>
      <c r="C328" s="501">
        <v>1676</v>
      </c>
      <c r="D328" s="501">
        <v>1595.4</v>
      </c>
      <c r="E328" s="501">
        <v>1561.76</v>
      </c>
      <c r="F328" s="501">
        <v>1591.86</v>
      </c>
      <c r="G328" s="501">
        <v>1861.83</v>
      </c>
      <c r="H328" s="501">
        <v>2042.04</v>
      </c>
      <c r="I328" s="501">
        <v>2300.6799999999998</v>
      </c>
      <c r="J328" s="501">
        <v>2488.7399999999998</v>
      </c>
      <c r="K328" s="501">
        <v>2538.83</v>
      </c>
      <c r="L328" s="501">
        <v>2526.35</v>
      </c>
      <c r="M328" s="501">
        <v>2541.5100000000002</v>
      </c>
      <c r="N328" s="501">
        <v>2541.9499999999998</v>
      </c>
      <c r="O328" s="501">
        <v>2544.46</v>
      </c>
      <c r="P328" s="501">
        <v>2530.79</v>
      </c>
      <c r="Q328" s="501">
        <v>2516.5100000000002</v>
      </c>
      <c r="R328" s="501">
        <v>2488.3200000000002</v>
      </c>
      <c r="S328" s="501">
        <v>2471.29</v>
      </c>
      <c r="T328" s="501">
        <v>2449.5100000000002</v>
      </c>
      <c r="U328" s="501">
        <v>2451.16</v>
      </c>
      <c r="V328" s="501">
        <v>2464.23</v>
      </c>
      <c r="W328" s="501">
        <v>2463.23</v>
      </c>
      <c r="X328" s="501">
        <v>2299.3200000000002</v>
      </c>
      <c r="Y328" s="501">
        <v>2096.0100000000002</v>
      </c>
      <c r="Z328" s="502"/>
    </row>
    <row r="329" spans="1:26">
      <c r="A329" s="500">
        <v>45066</v>
      </c>
      <c r="B329" s="501">
        <v>2091.5100000000002</v>
      </c>
      <c r="C329" s="501">
        <v>1976.65</v>
      </c>
      <c r="D329" s="501">
        <v>1904.7</v>
      </c>
      <c r="E329" s="501">
        <v>1804.07</v>
      </c>
      <c r="F329" s="501">
        <v>1801.36</v>
      </c>
      <c r="G329" s="501">
        <v>1862.69</v>
      </c>
      <c r="H329" s="501">
        <v>1969.27</v>
      </c>
      <c r="I329" s="501">
        <v>2148.67</v>
      </c>
      <c r="J329" s="501">
        <v>2349.7800000000002</v>
      </c>
      <c r="K329" s="501">
        <v>2481.75</v>
      </c>
      <c r="L329" s="501">
        <v>2519.73</v>
      </c>
      <c r="M329" s="501">
        <v>2502.21</v>
      </c>
      <c r="N329" s="501">
        <v>2428.21</v>
      </c>
      <c r="O329" s="501">
        <v>2403.37</v>
      </c>
      <c r="P329" s="501">
        <v>2391.0100000000002</v>
      </c>
      <c r="Q329" s="501">
        <v>2358.35</v>
      </c>
      <c r="R329" s="501">
        <v>2344.21</v>
      </c>
      <c r="S329" s="501">
        <v>2316.14</v>
      </c>
      <c r="T329" s="501">
        <v>2320.44</v>
      </c>
      <c r="U329" s="501">
        <v>2355.7800000000002</v>
      </c>
      <c r="V329" s="501">
        <v>2391.19</v>
      </c>
      <c r="W329" s="501">
        <v>2359.3000000000002</v>
      </c>
      <c r="X329" s="501">
        <v>2216.17</v>
      </c>
      <c r="Y329" s="501">
        <v>2053.92</v>
      </c>
      <c r="Z329" s="502"/>
    </row>
    <row r="330" spans="1:26">
      <c r="A330" s="500">
        <v>45067</v>
      </c>
      <c r="B330" s="501">
        <v>2030.14</v>
      </c>
      <c r="C330" s="501">
        <v>1901.51</v>
      </c>
      <c r="D330" s="501">
        <v>1790.99</v>
      </c>
      <c r="E330" s="501">
        <v>1716.89</v>
      </c>
      <c r="F330" s="501">
        <v>1713.29</v>
      </c>
      <c r="G330" s="501">
        <v>1685.15</v>
      </c>
      <c r="H330" s="501">
        <v>1768.54</v>
      </c>
      <c r="I330" s="501">
        <v>1994.39</v>
      </c>
      <c r="J330" s="501">
        <v>2162.25</v>
      </c>
      <c r="K330" s="501">
        <v>2278.62</v>
      </c>
      <c r="L330" s="501">
        <v>2313.84</v>
      </c>
      <c r="M330" s="501">
        <v>2322.21</v>
      </c>
      <c r="N330" s="501">
        <v>2316.9699999999998</v>
      </c>
      <c r="O330" s="501">
        <v>2309.15</v>
      </c>
      <c r="P330" s="501">
        <v>2312.1</v>
      </c>
      <c r="Q330" s="501">
        <v>2314.19</v>
      </c>
      <c r="R330" s="501">
        <v>2309.37</v>
      </c>
      <c r="S330" s="501">
        <v>2303.2399999999998</v>
      </c>
      <c r="T330" s="501">
        <v>2365.0300000000002</v>
      </c>
      <c r="U330" s="501">
        <v>2450.65</v>
      </c>
      <c r="V330" s="501">
        <v>2480.7600000000002</v>
      </c>
      <c r="W330" s="501">
        <v>2417.41</v>
      </c>
      <c r="X330" s="501">
        <v>2268.69</v>
      </c>
      <c r="Y330" s="501">
        <v>2098.0500000000002</v>
      </c>
      <c r="Z330" s="502"/>
    </row>
    <row r="331" spans="1:26">
      <c r="A331" s="500">
        <v>45068</v>
      </c>
      <c r="B331" s="501">
        <v>1911.28</v>
      </c>
      <c r="C331" s="501">
        <v>1773.35</v>
      </c>
      <c r="D331" s="501">
        <v>1712.48</v>
      </c>
      <c r="E331" s="501">
        <v>1708.08</v>
      </c>
      <c r="F331" s="501">
        <v>1710.87</v>
      </c>
      <c r="G331" s="501">
        <v>1774.07</v>
      </c>
      <c r="H331" s="501">
        <v>2027.79</v>
      </c>
      <c r="I331" s="501">
        <v>2273.34</v>
      </c>
      <c r="J331" s="501">
        <v>2499.9</v>
      </c>
      <c r="K331" s="501">
        <v>2545.54</v>
      </c>
      <c r="L331" s="501">
        <v>2527.3000000000002</v>
      </c>
      <c r="M331" s="501">
        <v>2526.17</v>
      </c>
      <c r="N331" s="501">
        <v>2481.84</v>
      </c>
      <c r="O331" s="501">
        <v>2510.7800000000002</v>
      </c>
      <c r="P331" s="501">
        <v>2491.08</v>
      </c>
      <c r="Q331" s="501">
        <v>2462.58</v>
      </c>
      <c r="R331" s="501">
        <v>2443.1999999999998</v>
      </c>
      <c r="S331" s="501">
        <v>2450.96</v>
      </c>
      <c r="T331" s="501">
        <v>2433.6999999999998</v>
      </c>
      <c r="U331" s="501">
        <v>2407.84</v>
      </c>
      <c r="V331" s="501">
        <v>2437.7600000000002</v>
      </c>
      <c r="W331" s="501">
        <v>2464.5700000000002</v>
      </c>
      <c r="X331" s="501">
        <v>2205.25</v>
      </c>
      <c r="Y331" s="501">
        <v>2032.26</v>
      </c>
      <c r="Z331" s="502"/>
    </row>
    <row r="332" spans="1:26">
      <c r="A332" s="500">
        <v>45069</v>
      </c>
      <c r="B332" s="501">
        <v>1929.17</v>
      </c>
      <c r="C332" s="501">
        <v>1786.21</v>
      </c>
      <c r="D332" s="501">
        <v>1701.63</v>
      </c>
      <c r="E332" s="501">
        <v>1674.16</v>
      </c>
      <c r="F332" s="501">
        <v>1836.41</v>
      </c>
      <c r="G332" s="501">
        <v>1995.79</v>
      </c>
      <c r="H332" s="501">
        <v>2088.66</v>
      </c>
      <c r="I332" s="501">
        <v>2275.89</v>
      </c>
      <c r="J332" s="501">
        <v>2456.3000000000002</v>
      </c>
      <c r="K332" s="501">
        <v>2497.4699999999998</v>
      </c>
      <c r="L332" s="501">
        <v>2441.36</v>
      </c>
      <c r="M332" s="501">
        <v>2507.62</v>
      </c>
      <c r="N332" s="501">
        <v>2514.1</v>
      </c>
      <c r="O332" s="501">
        <v>2527.9</v>
      </c>
      <c r="P332" s="501">
        <v>2492.5700000000002</v>
      </c>
      <c r="Q332" s="501">
        <v>2470.2199999999998</v>
      </c>
      <c r="R332" s="501">
        <v>2453.33</v>
      </c>
      <c r="S332" s="501">
        <v>2423.88</v>
      </c>
      <c r="T332" s="501">
        <v>2395.2800000000002</v>
      </c>
      <c r="U332" s="501">
        <v>2383.2600000000002</v>
      </c>
      <c r="V332" s="501">
        <v>2386.27</v>
      </c>
      <c r="W332" s="501">
        <v>2383.2800000000002</v>
      </c>
      <c r="X332" s="501">
        <v>2217.46</v>
      </c>
      <c r="Y332" s="501">
        <v>1985.83</v>
      </c>
      <c r="Z332" s="502"/>
    </row>
    <row r="333" spans="1:26">
      <c r="A333" s="500">
        <v>45070</v>
      </c>
      <c r="B333" s="501">
        <v>1949.55</v>
      </c>
      <c r="C333" s="501">
        <v>1751.92</v>
      </c>
      <c r="D333" s="501">
        <v>1720.71</v>
      </c>
      <c r="E333" s="501">
        <v>1685.88</v>
      </c>
      <c r="F333" s="501">
        <v>1707.77</v>
      </c>
      <c r="G333" s="501">
        <v>1902.66</v>
      </c>
      <c r="H333" s="501">
        <v>2228.71</v>
      </c>
      <c r="I333" s="501">
        <v>2396.7399999999998</v>
      </c>
      <c r="J333" s="501">
        <v>2494.5700000000002</v>
      </c>
      <c r="K333" s="501">
        <v>2509.25</v>
      </c>
      <c r="L333" s="501">
        <v>2500.02</v>
      </c>
      <c r="M333" s="501">
        <v>2490.35</v>
      </c>
      <c r="N333" s="501">
        <v>2486.17</v>
      </c>
      <c r="O333" s="501">
        <v>2491.7600000000002</v>
      </c>
      <c r="P333" s="501">
        <v>2486.7399999999998</v>
      </c>
      <c r="Q333" s="501">
        <v>2493.63</v>
      </c>
      <c r="R333" s="501">
        <v>2480.1799999999998</v>
      </c>
      <c r="S333" s="501">
        <v>2473.09</v>
      </c>
      <c r="T333" s="501">
        <v>2470.5700000000002</v>
      </c>
      <c r="U333" s="501">
        <v>2473.0700000000002</v>
      </c>
      <c r="V333" s="501">
        <v>2475.29</v>
      </c>
      <c r="W333" s="501">
        <v>2465.7600000000002</v>
      </c>
      <c r="X333" s="501">
        <v>2362.4499999999998</v>
      </c>
      <c r="Y333" s="501">
        <v>2064.08</v>
      </c>
      <c r="Z333" s="502"/>
    </row>
    <row r="334" spans="1:26">
      <c r="A334" s="500">
        <v>45071</v>
      </c>
      <c r="B334" s="501">
        <v>1789.4</v>
      </c>
      <c r="C334" s="501">
        <v>1688.92</v>
      </c>
      <c r="D334" s="501">
        <v>1634.25</v>
      </c>
      <c r="E334" s="501">
        <v>1595.3</v>
      </c>
      <c r="F334" s="501">
        <v>1608.39</v>
      </c>
      <c r="G334" s="501">
        <v>1792.55</v>
      </c>
      <c r="H334" s="501">
        <v>2191.17</v>
      </c>
      <c r="I334" s="501">
        <v>2350.61</v>
      </c>
      <c r="J334" s="501">
        <v>2519.58</v>
      </c>
      <c r="K334" s="501">
        <v>2517.34</v>
      </c>
      <c r="L334" s="501">
        <v>2511.9699999999998</v>
      </c>
      <c r="M334" s="501">
        <v>2507.66</v>
      </c>
      <c r="N334" s="501">
        <v>2510.08</v>
      </c>
      <c r="O334" s="501">
        <v>2508.7199999999998</v>
      </c>
      <c r="P334" s="501">
        <v>2526.94</v>
      </c>
      <c r="Q334" s="501">
        <v>2524.62</v>
      </c>
      <c r="R334" s="501">
        <v>2503.4499999999998</v>
      </c>
      <c r="S334" s="501">
        <v>2499.98</v>
      </c>
      <c r="T334" s="501">
        <v>2497.46</v>
      </c>
      <c r="U334" s="501">
        <v>2501.65</v>
      </c>
      <c r="V334" s="501">
        <v>2505.27</v>
      </c>
      <c r="W334" s="501">
        <v>2490.11</v>
      </c>
      <c r="X334" s="501">
        <v>2387.39</v>
      </c>
      <c r="Y334" s="501">
        <v>1999.1</v>
      </c>
      <c r="Z334" s="502"/>
    </row>
    <row r="335" spans="1:26">
      <c r="A335" s="500">
        <v>45072</v>
      </c>
      <c r="B335" s="501">
        <v>1883.74</v>
      </c>
      <c r="C335" s="501">
        <v>1753.56</v>
      </c>
      <c r="D335" s="501">
        <v>1696.55</v>
      </c>
      <c r="E335" s="501">
        <v>1660.3</v>
      </c>
      <c r="F335" s="501">
        <v>1696.41</v>
      </c>
      <c r="G335" s="501">
        <v>1817.95</v>
      </c>
      <c r="H335" s="501">
        <v>2233.39</v>
      </c>
      <c r="I335" s="501">
        <v>2401.58</v>
      </c>
      <c r="J335" s="501">
        <v>2602.69</v>
      </c>
      <c r="K335" s="501">
        <v>2607.34</v>
      </c>
      <c r="L335" s="501">
        <v>2605.2199999999998</v>
      </c>
      <c r="M335" s="501">
        <v>2601.36</v>
      </c>
      <c r="N335" s="501">
        <v>2603.71</v>
      </c>
      <c r="O335" s="501">
        <v>2603.89</v>
      </c>
      <c r="P335" s="501">
        <v>2617.34</v>
      </c>
      <c r="Q335" s="501">
        <v>2611.92</v>
      </c>
      <c r="R335" s="501">
        <v>2588.7199999999998</v>
      </c>
      <c r="S335" s="501">
        <v>2583.67</v>
      </c>
      <c r="T335" s="501">
        <v>2579.54</v>
      </c>
      <c r="U335" s="501">
        <v>2577.0700000000002</v>
      </c>
      <c r="V335" s="501">
        <v>2584.17</v>
      </c>
      <c r="W335" s="501">
        <v>2572</v>
      </c>
      <c r="X335" s="501">
        <v>2509.39</v>
      </c>
      <c r="Y335" s="501">
        <v>2238.98</v>
      </c>
      <c r="Z335" s="502"/>
    </row>
    <row r="336" spans="1:26">
      <c r="A336" s="500">
        <v>45073</v>
      </c>
      <c r="B336" s="501">
        <v>2176.9299999999998</v>
      </c>
      <c r="C336" s="501">
        <v>1942.21</v>
      </c>
      <c r="D336" s="501">
        <v>1805.61</v>
      </c>
      <c r="E336" s="501">
        <v>1766.65</v>
      </c>
      <c r="F336" s="501">
        <v>1750.5</v>
      </c>
      <c r="G336" s="501">
        <v>1737.77</v>
      </c>
      <c r="H336" s="501">
        <v>2070.33</v>
      </c>
      <c r="I336" s="501">
        <v>2232.61</v>
      </c>
      <c r="J336" s="501">
        <v>2479.37</v>
      </c>
      <c r="K336" s="501">
        <v>2531.25</v>
      </c>
      <c r="L336" s="501">
        <v>2530.61</v>
      </c>
      <c r="M336" s="501">
        <v>2530.0300000000002</v>
      </c>
      <c r="N336" s="501">
        <v>2528.6</v>
      </c>
      <c r="O336" s="501">
        <v>2523.59</v>
      </c>
      <c r="P336" s="501">
        <v>2516.04</v>
      </c>
      <c r="Q336" s="501">
        <v>2513.1999999999998</v>
      </c>
      <c r="R336" s="501">
        <v>2514.2600000000002</v>
      </c>
      <c r="S336" s="501">
        <v>2489.88</v>
      </c>
      <c r="T336" s="501">
        <v>2486.84</v>
      </c>
      <c r="U336" s="501">
        <v>2491.75</v>
      </c>
      <c r="V336" s="501">
        <v>2523.5700000000002</v>
      </c>
      <c r="W336" s="501">
        <v>2514.89</v>
      </c>
      <c r="X336" s="501">
        <v>2452.06</v>
      </c>
      <c r="Y336" s="501">
        <v>2139.2199999999998</v>
      </c>
      <c r="Z336" s="502"/>
    </row>
    <row r="337" spans="1:26">
      <c r="A337" s="500">
        <v>45074</v>
      </c>
      <c r="B337" s="501">
        <v>2051.27</v>
      </c>
      <c r="C337" s="501">
        <v>1890.34</v>
      </c>
      <c r="D337" s="501">
        <v>1775.48</v>
      </c>
      <c r="E337" s="501">
        <v>1747.74</v>
      </c>
      <c r="F337" s="501">
        <v>1725.94</v>
      </c>
      <c r="G337" s="501">
        <v>1715.31</v>
      </c>
      <c r="H337" s="501">
        <v>1929.79</v>
      </c>
      <c r="I337" s="501">
        <v>2085.84</v>
      </c>
      <c r="J337" s="501">
        <v>2335.44</v>
      </c>
      <c r="K337" s="501">
        <v>2473.56</v>
      </c>
      <c r="L337" s="501">
        <v>2478.81</v>
      </c>
      <c r="M337" s="501">
        <v>2477.2199999999998</v>
      </c>
      <c r="N337" s="501">
        <v>2476.94</v>
      </c>
      <c r="O337" s="501">
        <v>2477.0500000000002</v>
      </c>
      <c r="P337" s="501">
        <v>2476.7600000000002</v>
      </c>
      <c r="Q337" s="501">
        <v>2477.79</v>
      </c>
      <c r="R337" s="501">
        <v>2484.23</v>
      </c>
      <c r="S337" s="501">
        <v>2486.8000000000002</v>
      </c>
      <c r="T337" s="501">
        <v>2484.89</v>
      </c>
      <c r="U337" s="501">
        <v>2481.77</v>
      </c>
      <c r="V337" s="501">
        <v>2493.71</v>
      </c>
      <c r="W337" s="501">
        <v>2484.23</v>
      </c>
      <c r="X337" s="501">
        <v>2406.44</v>
      </c>
      <c r="Y337" s="501">
        <v>2121.6799999999998</v>
      </c>
      <c r="Z337" s="502"/>
    </row>
    <row r="338" spans="1:26">
      <c r="A338" s="500">
        <v>45075</v>
      </c>
      <c r="B338" s="501">
        <v>1976.8</v>
      </c>
      <c r="C338" s="501">
        <v>1821.5</v>
      </c>
      <c r="D338" s="501">
        <v>1736.53</v>
      </c>
      <c r="E338" s="501">
        <v>1700.84</v>
      </c>
      <c r="F338" s="501">
        <v>1722.74</v>
      </c>
      <c r="G338" s="501">
        <v>1807.15</v>
      </c>
      <c r="H338" s="501">
        <v>2241.31</v>
      </c>
      <c r="I338" s="501">
        <v>2467.42</v>
      </c>
      <c r="J338" s="501">
        <v>2554.79</v>
      </c>
      <c r="K338" s="501">
        <v>2556.39</v>
      </c>
      <c r="L338" s="501">
        <v>2553.31</v>
      </c>
      <c r="M338" s="501">
        <v>2552.1799999999998</v>
      </c>
      <c r="N338" s="501">
        <v>2554.0500000000002</v>
      </c>
      <c r="O338" s="501">
        <v>2552.04</v>
      </c>
      <c r="P338" s="501">
        <v>2549.54</v>
      </c>
      <c r="Q338" s="501">
        <v>2543.6999999999998</v>
      </c>
      <c r="R338" s="501">
        <v>2538.9299999999998</v>
      </c>
      <c r="S338" s="501">
        <v>2537.59</v>
      </c>
      <c r="T338" s="501">
        <v>2532.92</v>
      </c>
      <c r="U338" s="501">
        <v>2533.98</v>
      </c>
      <c r="V338" s="501">
        <v>2534.54</v>
      </c>
      <c r="W338" s="501">
        <v>2525.9</v>
      </c>
      <c r="X338" s="501">
        <v>2479.64</v>
      </c>
      <c r="Y338" s="501">
        <v>2093.17</v>
      </c>
      <c r="Z338" s="502"/>
    </row>
    <row r="339" spans="1:26">
      <c r="A339" s="500">
        <v>45076</v>
      </c>
      <c r="B339" s="501">
        <v>1902.72</v>
      </c>
      <c r="C339" s="501">
        <v>1767.08</v>
      </c>
      <c r="D339" s="501">
        <v>1741.96</v>
      </c>
      <c r="E339" s="501">
        <v>1718.59</v>
      </c>
      <c r="F339" s="501">
        <v>1743.76</v>
      </c>
      <c r="G339" s="501">
        <v>1908.31</v>
      </c>
      <c r="H339" s="501">
        <v>2243.29</v>
      </c>
      <c r="I339" s="501">
        <v>2482.1999999999998</v>
      </c>
      <c r="J339" s="501">
        <v>2596.5500000000002</v>
      </c>
      <c r="K339" s="501">
        <v>2598.46</v>
      </c>
      <c r="L339" s="501">
        <v>2596.7399999999998</v>
      </c>
      <c r="M339" s="501">
        <v>2592.9499999999998</v>
      </c>
      <c r="N339" s="501">
        <v>2596.3000000000002</v>
      </c>
      <c r="O339" s="501">
        <v>2595.64</v>
      </c>
      <c r="P339" s="501">
        <v>2593.2800000000002</v>
      </c>
      <c r="Q339" s="501">
        <v>2588.73</v>
      </c>
      <c r="R339" s="501">
        <v>2583.8000000000002</v>
      </c>
      <c r="S339" s="501">
        <v>2580.06</v>
      </c>
      <c r="T339" s="501">
        <v>2573.9</v>
      </c>
      <c r="U339" s="501">
        <v>2573.19</v>
      </c>
      <c r="V339" s="501">
        <v>2575.0300000000002</v>
      </c>
      <c r="W339" s="501">
        <v>2552.96</v>
      </c>
      <c r="X339" s="501">
        <v>2461.56</v>
      </c>
      <c r="Y339" s="501">
        <v>2120.9</v>
      </c>
      <c r="Z339" s="502"/>
    </row>
    <row r="340" spans="1:26">
      <c r="A340" s="500">
        <v>45077</v>
      </c>
      <c r="B340" s="501">
        <v>1854.75</v>
      </c>
      <c r="C340" s="501">
        <v>1729.19</v>
      </c>
      <c r="D340" s="501">
        <v>1668.69</v>
      </c>
      <c r="E340" s="501">
        <v>1635.01</v>
      </c>
      <c r="F340" s="501">
        <v>1631.01</v>
      </c>
      <c r="G340" s="501">
        <v>1796</v>
      </c>
      <c r="H340" s="501">
        <v>2197.16</v>
      </c>
      <c r="I340" s="501">
        <v>2434.92</v>
      </c>
      <c r="J340" s="501">
        <v>2620.8000000000002</v>
      </c>
      <c r="K340" s="501">
        <v>2620.9699999999998</v>
      </c>
      <c r="L340" s="501">
        <v>2618.52</v>
      </c>
      <c r="M340" s="501">
        <v>2614.73</v>
      </c>
      <c r="N340" s="501">
        <v>2618.11</v>
      </c>
      <c r="O340" s="501">
        <v>2614.7800000000002</v>
      </c>
      <c r="P340" s="501">
        <v>2605.63</v>
      </c>
      <c r="Q340" s="501">
        <v>2598.2600000000002</v>
      </c>
      <c r="R340" s="501">
        <v>2595.0300000000002</v>
      </c>
      <c r="S340" s="501">
        <v>2592.96</v>
      </c>
      <c r="T340" s="501">
        <v>2590.89</v>
      </c>
      <c r="U340" s="501">
        <v>2593.0700000000002</v>
      </c>
      <c r="V340" s="501">
        <v>2596.8200000000002</v>
      </c>
      <c r="W340" s="501">
        <v>2577.64</v>
      </c>
      <c r="X340" s="501">
        <v>2480.09</v>
      </c>
      <c r="Y340" s="501">
        <v>2177.2199999999998</v>
      </c>
      <c r="Z340" s="502"/>
    </row>
    <row r="341" spans="1:26">
      <c r="A341" s="503"/>
      <c r="B341" s="504"/>
      <c r="C341" s="489"/>
      <c r="D341" s="489"/>
      <c r="E341" s="489"/>
      <c r="F341" s="489"/>
      <c r="G341" s="489"/>
      <c r="H341" s="489"/>
      <c r="I341" s="489"/>
      <c r="J341" s="489"/>
      <c r="K341" s="491"/>
      <c r="L341" s="491"/>
      <c r="M341" s="491"/>
      <c r="N341" s="491"/>
      <c r="O341" s="491"/>
      <c r="P341" s="491"/>
      <c r="Q341" s="491"/>
      <c r="R341" s="491"/>
      <c r="S341" s="491"/>
      <c r="T341" s="491"/>
      <c r="U341" s="491"/>
      <c r="V341" s="491"/>
      <c r="W341" s="491"/>
      <c r="X341" s="491"/>
      <c r="Y341" s="491"/>
      <c r="Z341" s="505"/>
    </row>
    <row r="342" spans="1:26">
      <c r="A342" s="503"/>
      <c r="B342" s="504"/>
      <c r="C342" s="489"/>
      <c r="D342" s="489"/>
      <c r="E342" s="489"/>
      <c r="F342" s="489"/>
      <c r="G342" s="489"/>
      <c r="H342" s="489"/>
      <c r="I342" s="489"/>
      <c r="J342" s="489"/>
      <c r="K342" s="491"/>
      <c r="L342" s="491"/>
      <c r="M342" s="491"/>
      <c r="N342" s="491"/>
      <c r="O342" s="491"/>
      <c r="P342" s="491"/>
      <c r="Q342" s="491"/>
      <c r="R342" s="491"/>
      <c r="S342" s="491"/>
      <c r="T342" s="491"/>
      <c r="U342" s="491"/>
      <c r="V342" s="491"/>
      <c r="W342" s="491"/>
      <c r="X342" s="491"/>
      <c r="Y342" s="491"/>
      <c r="Z342" s="505"/>
    </row>
    <row r="343" spans="1:26" ht="16">
      <c r="A343" s="495" t="s">
        <v>711</v>
      </c>
      <c r="B343" s="866" t="s">
        <v>737</v>
      </c>
      <c r="C343" s="866"/>
      <c r="D343" s="866"/>
      <c r="E343" s="866"/>
      <c r="F343" s="866"/>
      <c r="G343" s="866"/>
      <c r="H343" s="866"/>
      <c r="I343" s="866"/>
      <c r="J343" s="866"/>
      <c r="K343" s="866"/>
      <c r="L343" s="866"/>
      <c r="M343" s="866"/>
      <c r="N343" s="866"/>
      <c r="O343" s="866"/>
      <c r="P343" s="866"/>
      <c r="Q343" s="866"/>
      <c r="R343" s="866"/>
      <c r="S343" s="866"/>
      <c r="T343" s="866"/>
      <c r="U343" s="866"/>
      <c r="V343" s="866"/>
      <c r="W343" s="866"/>
      <c r="X343" s="866"/>
      <c r="Y343" s="866"/>
      <c r="Z343" s="496"/>
    </row>
    <row r="344" spans="1:26" ht="17">
      <c r="A344" s="497" t="s">
        <v>280</v>
      </c>
      <c r="B344" s="498" t="s">
        <v>713</v>
      </c>
      <c r="C344" s="498" t="s">
        <v>714</v>
      </c>
      <c r="D344" s="498" t="s">
        <v>715</v>
      </c>
      <c r="E344" s="498" t="s">
        <v>716</v>
      </c>
      <c r="F344" s="498" t="s">
        <v>717</v>
      </c>
      <c r="G344" s="498" t="s">
        <v>718</v>
      </c>
      <c r="H344" s="498" t="s">
        <v>719</v>
      </c>
      <c r="I344" s="498" t="s">
        <v>720</v>
      </c>
      <c r="J344" s="498" t="s">
        <v>721</v>
      </c>
      <c r="K344" s="498" t="s">
        <v>722</v>
      </c>
      <c r="L344" s="498" t="s">
        <v>723</v>
      </c>
      <c r="M344" s="498" t="s">
        <v>724</v>
      </c>
      <c r="N344" s="498" t="s">
        <v>725</v>
      </c>
      <c r="O344" s="498" t="s">
        <v>726</v>
      </c>
      <c r="P344" s="498" t="s">
        <v>727</v>
      </c>
      <c r="Q344" s="498" t="s">
        <v>728</v>
      </c>
      <c r="R344" s="498" t="s">
        <v>729</v>
      </c>
      <c r="S344" s="498" t="s">
        <v>730</v>
      </c>
      <c r="T344" s="498" t="s">
        <v>731</v>
      </c>
      <c r="U344" s="498" t="s">
        <v>732</v>
      </c>
      <c r="V344" s="498" t="s">
        <v>733</v>
      </c>
      <c r="W344" s="498" t="s">
        <v>734</v>
      </c>
      <c r="X344" s="498" t="s">
        <v>735</v>
      </c>
      <c r="Y344" s="498" t="s">
        <v>736</v>
      </c>
      <c r="Z344" s="499"/>
    </row>
    <row r="345" spans="1:26">
      <c r="A345" s="500">
        <v>45047</v>
      </c>
      <c r="B345" s="501">
        <v>2166.61</v>
      </c>
      <c r="C345" s="501">
        <v>2065.35</v>
      </c>
      <c r="D345" s="501">
        <v>2000.22</v>
      </c>
      <c r="E345" s="501">
        <v>1944.04</v>
      </c>
      <c r="F345" s="501">
        <v>1928.97</v>
      </c>
      <c r="G345" s="501">
        <v>1953.15</v>
      </c>
      <c r="H345" s="501">
        <v>2007.72</v>
      </c>
      <c r="I345" s="501">
        <v>2141.5100000000002</v>
      </c>
      <c r="J345" s="501">
        <v>2363.0500000000002</v>
      </c>
      <c r="K345" s="501">
        <v>2500.16</v>
      </c>
      <c r="L345" s="501">
        <v>2506.4</v>
      </c>
      <c r="M345" s="501">
        <v>2492.61</v>
      </c>
      <c r="N345" s="501">
        <v>2475.96</v>
      </c>
      <c r="O345" s="501">
        <v>2466.46</v>
      </c>
      <c r="P345" s="501">
        <v>2444.5500000000002</v>
      </c>
      <c r="Q345" s="501">
        <v>2425.15</v>
      </c>
      <c r="R345" s="501">
        <v>2422.81</v>
      </c>
      <c r="S345" s="501">
        <v>2436.5300000000002</v>
      </c>
      <c r="T345" s="501">
        <v>2501.36</v>
      </c>
      <c r="U345" s="501">
        <v>2562.54</v>
      </c>
      <c r="V345" s="501">
        <v>2593.13</v>
      </c>
      <c r="W345" s="501">
        <v>2534.0500000000002</v>
      </c>
      <c r="X345" s="501">
        <v>2437.83</v>
      </c>
      <c r="Y345" s="501">
        <v>2238.9899999999998</v>
      </c>
      <c r="Z345" s="502"/>
    </row>
    <row r="346" spans="1:26">
      <c r="A346" s="500">
        <v>45048</v>
      </c>
      <c r="B346" s="501">
        <v>2001.22</v>
      </c>
      <c r="C346" s="501">
        <v>1855.96</v>
      </c>
      <c r="D346" s="501">
        <v>1783.15</v>
      </c>
      <c r="E346" s="501">
        <v>1788.55</v>
      </c>
      <c r="F346" s="501">
        <v>1827.38</v>
      </c>
      <c r="G346" s="501">
        <v>1957.51</v>
      </c>
      <c r="H346" s="501">
        <v>2160.37</v>
      </c>
      <c r="I346" s="501">
        <v>2389.52</v>
      </c>
      <c r="J346" s="501">
        <v>2521.1</v>
      </c>
      <c r="K346" s="501">
        <v>2524.79</v>
      </c>
      <c r="L346" s="501">
        <v>2501.13</v>
      </c>
      <c r="M346" s="501">
        <v>2517.98</v>
      </c>
      <c r="N346" s="501">
        <v>2534.96</v>
      </c>
      <c r="O346" s="501">
        <v>2536.96</v>
      </c>
      <c r="P346" s="501">
        <v>2506.2399999999998</v>
      </c>
      <c r="Q346" s="501">
        <v>2469.1</v>
      </c>
      <c r="R346" s="501">
        <v>2448.08</v>
      </c>
      <c r="S346" s="501">
        <v>2439.54</v>
      </c>
      <c r="T346" s="501">
        <v>2436.66</v>
      </c>
      <c r="U346" s="501">
        <v>2442.9699999999998</v>
      </c>
      <c r="V346" s="501">
        <v>2458.6999999999998</v>
      </c>
      <c r="W346" s="501">
        <v>2434.92</v>
      </c>
      <c r="X346" s="501">
        <v>2265.36</v>
      </c>
      <c r="Y346" s="501">
        <v>2014.08</v>
      </c>
      <c r="Z346" s="502"/>
    </row>
    <row r="347" spans="1:26">
      <c r="A347" s="500">
        <v>45049</v>
      </c>
      <c r="B347" s="501">
        <v>1880.3</v>
      </c>
      <c r="C347" s="501">
        <v>1762.82</v>
      </c>
      <c r="D347" s="501">
        <v>1750.83</v>
      </c>
      <c r="E347" s="501">
        <v>1760.07</v>
      </c>
      <c r="F347" s="501">
        <v>1793.72</v>
      </c>
      <c r="G347" s="501">
        <v>1913.8</v>
      </c>
      <c r="H347" s="501">
        <v>2098.5700000000002</v>
      </c>
      <c r="I347" s="501">
        <v>2297.75</v>
      </c>
      <c r="J347" s="501">
        <v>2450.79</v>
      </c>
      <c r="K347" s="501">
        <v>2500</v>
      </c>
      <c r="L347" s="501">
        <v>2496.96</v>
      </c>
      <c r="M347" s="501">
        <v>2482.66</v>
      </c>
      <c r="N347" s="501">
        <v>2487.0100000000002</v>
      </c>
      <c r="O347" s="501">
        <v>2493.34</v>
      </c>
      <c r="P347" s="501">
        <v>2480.25</v>
      </c>
      <c r="Q347" s="501">
        <v>2477.87</v>
      </c>
      <c r="R347" s="501">
        <v>2488.7199999999998</v>
      </c>
      <c r="S347" s="501">
        <v>2481.31</v>
      </c>
      <c r="T347" s="501">
        <v>2461.5700000000002</v>
      </c>
      <c r="U347" s="501">
        <v>2478.9899999999998</v>
      </c>
      <c r="V347" s="501">
        <v>2475.73</v>
      </c>
      <c r="W347" s="501">
        <v>2441.8200000000002</v>
      </c>
      <c r="X347" s="501">
        <v>2236.15</v>
      </c>
      <c r="Y347" s="501">
        <v>2040.81</v>
      </c>
      <c r="Z347" s="502"/>
    </row>
    <row r="348" spans="1:26">
      <c r="A348" s="500">
        <v>45050</v>
      </c>
      <c r="B348" s="501">
        <v>1838.62</v>
      </c>
      <c r="C348" s="501">
        <v>1749.47</v>
      </c>
      <c r="D348" s="501">
        <v>1694.76</v>
      </c>
      <c r="E348" s="501">
        <v>1688.49</v>
      </c>
      <c r="F348" s="501">
        <v>1748.5</v>
      </c>
      <c r="G348" s="501">
        <v>1830.61</v>
      </c>
      <c r="H348" s="501">
        <v>2034.69</v>
      </c>
      <c r="I348" s="501">
        <v>2246.86</v>
      </c>
      <c r="J348" s="501">
        <v>2316.38</v>
      </c>
      <c r="K348" s="501">
        <v>2391.33</v>
      </c>
      <c r="L348" s="501">
        <v>2425.81</v>
      </c>
      <c r="M348" s="501">
        <v>2423.9899999999998</v>
      </c>
      <c r="N348" s="501">
        <v>2427.94</v>
      </c>
      <c r="O348" s="501">
        <v>2429.21</v>
      </c>
      <c r="P348" s="501">
        <v>2416.1799999999998</v>
      </c>
      <c r="Q348" s="501">
        <v>2392.08</v>
      </c>
      <c r="R348" s="501">
        <v>2369.4499999999998</v>
      </c>
      <c r="S348" s="501">
        <v>2341.1</v>
      </c>
      <c r="T348" s="501">
        <v>2305.42</v>
      </c>
      <c r="U348" s="501">
        <v>2372.09</v>
      </c>
      <c r="V348" s="501">
        <v>2416.98</v>
      </c>
      <c r="W348" s="501">
        <v>2413.5500000000002</v>
      </c>
      <c r="X348" s="501">
        <v>2263.37</v>
      </c>
      <c r="Y348" s="501">
        <v>2063.6</v>
      </c>
      <c r="Z348" s="502"/>
    </row>
    <row r="349" spans="1:26">
      <c r="A349" s="500">
        <v>45051</v>
      </c>
      <c r="B349" s="501">
        <v>2019.29</v>
      </c>
      <c r="C349" s="501">
        <v>1866.13</v>
      </c>
      <c r="D349" s="501">
        <v>1806.64</v>
      </c>
      <c r="E349" s="501">
        <v>1793.15</v>
      </c>
      <c r="F349" s="501">
        <v>1854.04</v>
      </c>
      <c r="G349" s="501">
        <v>1991.54</v>
      </c>
      <c r="H349" s="501">
        <v>2114.65</v>
      </c>
      <c r="I349" s="501">
        <v>2302.85</v>
      </c>
      <c r="J349" s="501">
        <v>2445.41</v>
      </c>
      <c r="K349" s="501">
        <v>2485.69</v>
      </c>
      <c r="L349" s="501">
        <v>2513.81</v>
      </c>
      <c r="M349" s="501">
        <v>2540.9299999999998</v>
      </c>
      <c r="N349" s="501">
        <v>2528.4899999999998</v>
      </c>
      <c r="O349" s="501">
        <v>2544.4</v>
      </c>
      <c r="P349" s="501">
        <v>2525.44</v>
      </c>
      <c r="Q349" s="501">
        <v>2498.25</v>
      </c>
      <c r="R349" s="501">
        <v>2479.62</v>
      </c>
      <c r="S349" s="501">
        <v>2463.7800000000002</v>
      </c>
      <c r="T349" s="501">
        <v>2449.87</v>
      </c>
      <c r="U349" s="501">
        <v>2446.13</v>
      </c>
      <c r="V349" s="501">
        <v>2453.5700000000002</v>
      </c>
      <c r="W349" s="501">
        <v>2449.91</v>
      </c>
      <c r="X349" s="501">
        <v>2335.33</v>
      </c>
      <c r="Y349" s="501">
        <v>2161.73</v>
      </c>
      <c r="Z349" s="502"/>
    </row>
    <row r="350" spans="1:26">
      <c r="A350" s="500">
        <v>45052</v>
      </c>
      <c r="B350" s="501">
        <v>2114.44</v>
      </c>
      <c r="C350" s="501">
        <v>2059.4699999999998</v>
      </c>
      <c r="D350" s="501">
        <v>1971.51</v>
      </c>
      <c r="E350" s="501">
        <v>1867.48</v>
      </c>
      <c r="F350" s="501">
        <v>1873.35</v>
      </c>
      <c r="G350" s="501">
        <v>1977.81</v>
      </c>
      <c r="H350" s="501">
        <v>2041.71</v>
      </c>
      <c r="I350" s="501">
        <v>2137.4899999999998</v>
      </c>
      <c r="J350" s="501">
        <v>2394.2800000000002</v>
      </c>
      <c r="K350" s="501">
        <v>2492.42</v>
      </c>
      <c r="L350" s="501">
        <v>2533.38</v>
      </c>
      <c r="M350" s="501">
        <v>2509.2600000000002</v>
      </c>
      <c r="N350" s="501">
        <v>2476.2399999999998</v>
      </c>
      <c r="O350" s="501">
        <v>2469.5</v>
      </c>
      <c r="P350" s="501">
        <v>2460.4899999999998</v>
      </c>
      <c r="Q350" s="501">
        <v>2457.9699999999998</v>
      </c>
      <c r="R350" s="501">
        <v>2444.79</v>
      </c>
      <c r="S350" s="501">
        <v>2424.38</v>
      </c>
      <c r="T350" s="501">
        <v>2423.2199999999998</v>
      </c>
      <c r="U350" s="501">
        <v>2473.9899999999998</v>
      </c>
      <c r="V350" s="501">
        <v>2496.34</v>
      </c>
      <c r="W350" s="501">
        <v>2453.0100000000002</v>
      </c>
      <c r="X350" s="501">
        <v>2393.54</v>
      </c>
      <c r="Y350" s="501">
        <v>2186.59</v>
      </c>
      <c r="Z350" s="502"/>
    </row>
    <row r="351" spans="1:26">
      <c r="A351" s="500">
        <v>45053</v>
      </c>
      <c r="B351" s="501">
        <v>2083.06</v>
      </c>
      <c r="C351" s="501">
        <v>1962.78</v>
      </c>
      <c r="D351" s="501">
        <v>1857.6</v>
      </c>
      <c r="E351" s="501">
        <v>1812.5</v>
      </c>
      <c r="F351" s="501">
        <v>1800.39</v>
      </c>
      <c r="G351" s="501">
        <v>1776.3</v>
      </c>
      <c r="H351" s="501">
        <v>1902.27</v>
      </c>
      <c r="I351" s="501">
        <v>1991.48</v>
      </c>
      <c r="J351" s="501">
        <v>2125</v>
      </c>
      <c r="K351" s="501">
        <v>2232.2199999999998</v>
      </c>
      <c r="L351" s="501">
        <v>2249.81</v>
      </c>
      <c r="M351" s="501">
        <v>2251</v>
      </c>
      <c r="N351" s="501">
        <v>2245.83</v>
      </c>
      <c r="O351" s="501">
        <v>2237.98</v>
      </c>
      <c r="P351" s="501">
        <v>2231.67</v>
      </c>
      <c r="Q351" s="501">
        <v>2231.61</v>
      </c>
      <c r="R351" s="501">
        <v>2233.9899999999998</v>
      </c>
      <c r="S351" s="501">
        <v>2236.1999999999998</v>
      </c>
      <c r="T351" s="501">
        <v>2264.81</v>
      </c>
      <c r="U351" s="501">
        <v>2324.37</v>
      </c>
      <c r="V351" s="501">
        <v>2409.71</v>
      </c>
      <c r="W351" s="501">
        <v>2333.3200000000002</v>
      </c>
      <c r="X351" s="501">
        <v>2275.2199999999998</v>
      </c>
      <c r="Y351" s="501">
        <v>2092.9899999999998</v>
      </c>
      <c r="Z351" s="502"/>
    </row>
    <row r="352" spans="1:26">
      <c r="A352" s="500">
        <v>45054</v>
      </c>
      <c r="B352" s="501">
        <v>2076.6999999999998</v>
      </c>
      <c r="C352" s="501">
        <v>1990.99</v>
      </c>
      <c r="D352" s="501">
        <v>1888.05</v>
      </c>
      <c r="E352" s="501">
        <v>1733.14</v>
      </c>
      <c r="F352" s="501">
        <v>1723.28</v>
      </c>
      <c r="G352" s="501">
        <v>1744</v>
      </c>
      <c r="H352" s="501">
        <v>1944.39</v>
      </c>
      <c r="I352" s="501">
        <v>2054.63</v>
      </c>
      <c r="J352" s="501">
        <v>2232.64</v>
      </c>
      <c r="K352" s="501">
        <v>2386.69</v>
      </c>
      <c r="L352" s="501">
        <v>2410.89</v>
      </c>
      <c r="M352" s="501">
        <v>2410.4899999999998</v>
      </c>
      <c r="N352" s="501">
        <v>2400.21</v>
      </c>
      <c r="O352" s="501">
        <v>2395.5500000000002</v>
      </c>
      <c r="P352" s="501">
        <v>2392.0300000000002</v>
      </c>
      <c r="Q352" s="501">
        <v>2387.9</v>
      </c>
      <c r="R352" s="501">
        <v>2378.65</v>
      </c>
      <c r="S352" s="501">
        <v>2345.73</v>
      </c>
      <c r="T352" s="501">
        <v>2363.65</v>
      </c>
      <c r="U352" s="501">
        <v>2405.25</v>
      </c>
      <c r="V352" s="501">
        <v>2419.7399999999998</v>
      </c>
      <c r="W352" s="501">
        <v>2366.1</v>
      </c>
      <c r="X352" s="501">
        <v>2313.7199999999998</v>
      </c>
      <c r="Y352" s="501">
        <v>2160.12</v>
      </c>
      <c r="Z352" s="502"/>
    </row>
    <row r="353" spans="1:26">
      <c r="A353" s="500">
        <v>45055</v>
      </c>
      <c r="B353" s="501">
        <v>2112.54</v>
      </c>
      <c r="C353" s="501">
        <v>2024.9</v>
      </c>
      <c r="D353" s="501">
        <v>1975.68</v>
      </c>
      <c r="E353" s="501">
        <v>1940.93</v>
      </c>
      <c r="F353" s="501">
        <v>1917.29</v>
      </c>
      <c r="G353" s="501">
        <v>1920.83</v>
      </c>
      <c r="H353" s="501">
        <v>1964.07</v>
      </c>
      <c r="I353" s="501">
        <v>2057.13</v>
      </c>
      <c r="J353" s="501">
        <v>2271.84</v>
      </c>
      <c r="K353" s="501">
        <v>2354.1799999999998</v>
      </c>
      <c r="L353" s="501">
        <v>2400.3000000000002</v>
      </c>
      <c r="M353" s="501">
        <v>2380.84</v>
      </c>
      <c r="N353" s="501">
        <v>2374.08</v>
      </c>
      <c r="O353" s="501">
        <v>2370.7399999999998</v>
      </c>
      <c r="P353" s="501">
        <v>2366.5100000000002</v>
      </c>
      <c r="Q353" s="501">
        <v>2357.98</v>
      </c>
      <c r="R353" s="501">
        <v>2330.35</v>
      </c>
      <c r="S353" s="501">
        <v>2329.85</v>
      </c>
      <c r="T353" s="501">
        <v>2345.9499999999998</v>
      </c>
      <c r="U353" s="501">
        <v>2389.08</v>
      </c>
      <c r="V353" s="501">
        <v>2445.69</v>
      </c>
      <c r="W353" s="501">
        <v>2429.64</v>
      </c>
      <c r="X353" s="501">
        <v>2387.44</v>
      </c>
      <c r="Y353" s="501">
        <v>2212.91</v>
      </c>
      <c r="Z353" s="502"/>
    </row>
    <row r="354" spans="1:26">
      <c r="A354" s="500">
        <v>45056</v>
      </c>
      <c r="B354" s="501">
        <v>2189.4</v>
      </c>
      <c r="C354" s="501">
        <v>2041.51</v>
      </c>
      <c r="D354" s="501">
        <v>1977.51</v>
      </c>
      <c r="E354" s="501">
        <v>1943.08</v>
      </c>
      <c r="F354" s="501">
        <v>1976.09</v>
      </c>
      <c r="G354" s="501">
        <v>2054.6999999999998</v>
      </c>
      <c r="H354" s="501">
        <v>2239.84</v>
      </c>
      <c r="I354" s="501">
        <v>2473.9299999999998</v>
      </c>
      <c r="J354" s="501">
        <v>2524.64</v>
      </c>
      <c r="K354" s="501">
        <v>2527.94</v>
      </c>
      <c r="L354" s="501">
        <v>2518.9899999999998</v>
      </c>
      <c r="M354" s="501">
        <v>2553.09</v>
      </c>
      <c r="N354" s="501">
        <v>2560.23</v>
      </c>
      <c r="O354" s="501">
        <v>2567.09</v>
      </c>
      <c r="P354" s="501">
        <v>2551.7399999999998</v>
      </c>
      <c r="Q354" s="501">
        <v>2541.2399999999998</v>
      </c>
      <c r="R354" s="501">
        <v>2520.5</v>
      </c>
      <c r="S354" s="501">
        <v>2500.4299999999998</v>
      </c>
      <c r="T354" s="501">
        <v>2493.6799999999998</v>
      </c>
      <c r="U354" s="501">
        <v>2479.94</v>
      </c>
      <c r="V354" s="501">
        <v>2491.21</v>
      </c>
      <c r="W354" s="501">
        <v>2496.0500000000002</v>
      </c>
      <c r="X354" s="501">
        <v>2314.9</v>
      </c>
      <c r="Y354" s="501">
        <v>2209.1</v>
      </c>
      <c r="Z354" s="502"/>
    </row>
    <row r="355" spans="1:26">
      <c r="A355" s="500">
        <v>45057</v>
      </c>
      <c r="B355" s="501">
        <v>1894.4</v>
      </c>
      <c r="C355" s="501">
        <v>1776.57</v>
      </c>
      <c r="D355" s="501">
        <v>1740.23</v>
      </c>
      <c r="E355" s="501">
        <v>1707.37</v>
      </c>
      <c r="F355" s="501">
        <v>1738.12</v>
      </c>
      <c r="G355" s="501">
        <v>1840.31</v>
      </c>
      <c r="H355" s="501">
        <v>2399.4</v>
      </c>
      <c r="I355" s="501">
        <v>2414.5500000000002</v>
      </c>
      <c r="J355" s="501">
        <v>2507.19</v>
      </c>
      <c r="K355" s="501">
        <v>2510.12</v>
      </c>
      <c r="L355" s="501">
        <v>2464.4699999999998</v>
      </c>
      <c r="M355" s="501">
        <v>2509.59</v>
      </c>
      <c r="N355" s="501">
        <v>2518.63</v>
      </c>
      <c r="O355" s="501">
        <v>2506.5</v>
      </c>
      <c r="P355" s="501">
        <v>2480.14</v>
      </c>
      <c r="Q355" s="501">
        <v>2406.25</v>
      </c>
      <c r="R355" s="501">
        <v>2354.35</v>
      </c>
      <c r="S355" s="501">
        <v>2338.14</v>
      </c>
      <c r="T355" s="501">
        <v>2321.2600000000002</v>
      </c>
      <c r="U355" s="501">
        <v>2333.11</v>
      </c>
      <c r="V355" s="501">
        <v>2362.6999999999998</v>
      </c>
      <c r="W355" s="501">
        <v>2363.15</v>
      </c>
      <c r="X355" s="501">
        <v>2232.4699999999998</v>
      </c>
      <c r="Y355" s="501">
        <v>1989.49</v>
      </c>
      <c r="Z355" s="502"/>
    </row>
    <row r="356" spans="1:26">
      <c r="A356" s="500">
        <v>45058</v>
      </c>
      <c r="B356" s="501">
        <v>1878.25</v>
      </c>
      <c r="C356" s="501">
        <v>1762.3</v>
      </c>
      <c r="D356" s="501">
        <v>1707.29</v>
      </c>
      <c r="E356" s="501">
        <v>1669.66</v>
      </c>
      <c r="F356" s="501">
        <v>1758.08</v>
      </c>
      <c r="G356" s="501">
        <v>2135.16</v>
      </c>
      <c r="H356" s="501">
        <v>2570.54</v>
      </c>
      <c r="I356" s="501">
        <v>2609.7600000000002</v>
      </c>
      <c r="J356" s="501">
        <v>2629.47</v>
      </c>
      <c r="K356" s="501">
        <v>2632.87</v>
      </c>
      <c r="L356" s="501">
        <v>2628.25</v>
      </c>
      <c r="M356" s="501">
        <v>2618.36</v>
      </c>
      <c r="N356" s="501">
        <v>2623.31</v>
      </c>
      <c r="O356" s="501">
        <v>2620.56</v>
      </c>
      <c r="P356" s="501">
        <v>2705.48</v>
      </c>
      <c r="Q356" s="501">
        <v>2708.75</v>
      </c>
      <c r="R356" s="501">
        <v>2524.4299999999998</v>
      </c>
      <c r="S356" s="501">
        <v>2521.7199999999998</v>
      </c>
      <c r="T356" s="501">
        <v>2508.61</v>
      </c>
      <c r="U356" s="501">
        <v>2507.8200000000002</v>
      </c>
      <c r="V356" s="501">
        <v>2518.8200000000002</v>
      </c>
      <c r="W356" s="501">
        <v>2481.84</v>
      </c>
      <c r="X356" s="501">
        <v>2324.31</v>
      </c>
      <c r="Y356" s="501">
        <v>2220.48</v>
      </c>
      <c r="Z356" s="502"/>
    </row>
    <row r="357" spans="1:26">
      <c r="A357" s="500">
        <v>45059</v>
      </c>
      <c r="B357" s="501">
        <v>2165.52</v>
      </c>
      <c r="C357" s="501">
        <v>1940.66</v>
      </c>
      <c r="D357" s="501">
        <v>1811.65</v>
      </c>
      <c r="E357" s="501">
        <v>1785.83</v>
      </c>
      <c r="F357" s="501">
        <v>1785.16</v>
      </c>
      <c r="G357" s="501">
        <v>1812.9</v>
      </c>
      <c r="H357" s="501">
        <v>1980.58</v>
      </c>
      <c r="I357" s="501">
        <v>2146.56</v>
      </c>
      <c r="J357" s="501">
        <v>2317.17</v>
      </c>
      <c r="K357" s="501">
        <v>2516.1799999999998</v>
      </c>
      <c r="L357" s="501">
        <v>2524.4899999999998</v>
      </c>
      <c r="M357" s="501">
        <v>2524.66</v>
      </c>
      <c r="N357" s="501">
        <v>2515.9499999999998</v>
      </c>
      <c r="O357" s="501">
        <v>2506.0700000000002</v>
      </c>
      <c r="P357" s="501">
        <v>2503.0300000000002</v>
      </c>
      <c r="Q357" s="501">
        <v>2487.5100000000002</v>
      </c>
      <c r="R357" s="501">
        <v>2445.19</v>
      </c>
      <c r="S357" s="501">
        <v>2399.1</v>
      </c>
      <c r="T357" s="501">
        <v>2395.35</v>
      </c>
      <c r="U357" s="501">
        <v>2436.46</v>
      </c>
      <c r="V357" s="501">
        <v>2455.27</v>
      </c>
      <c r="W357" s="501">
        <v>2414.85</v>
      </c>
      <c r="X357" s="501">
        <v>2350.96</v>
      </c>
      <c r="Y357" s="501">
        <v>2193.04</v>
      </c>
      <c r="Z357" s="502"/>
    </row>
    <row r="358" spans="1:26">
      <c r="A358" s="500">
        <v>45060</v>
      </c>
      <c r="B358" s="501">
        <v>2017.36</v>
      </c>
      <c r="C358" s="501">
        <v>1841.07</v>
      </c>
      <c r="D358" s="501">
        <v>1769.61</v>
      </c>
      <c r="E358" s="501">
        <v>1753.91</v>
      </c>
      <c r="F358" s="501">
        <v>1745.92</v>
      </c>
      <c r="G358" s="501">
        <v>1683.62</v>
      </c>
      <c r="H358" s="501">
        <v>1681.7</v>
      </c>
      <c r="I358" s="501">
        <v>1883.15</v>
      </c>
      <c r="J358" s="501">
        <v>2129.15</v>
      </c>
      <c r="K358" s="501">
        <v>2248.2800000000002</v>
      </c>
      <c r="L358" s="501">
        <v>2275.89</v>
      </c>
      <c r="M358" s="501">
        <v>2279.3200000000002</v>
      </c>
      <c r="N358" s="501">
        <v>2274.9</v>
      </c>
      <c r="O358" s="501">
        <v>2271.7199999999998</v>
      </c>
      <c r="P358" s="501">
        <v>2267.64</v>
      </c>
      <c r="Q358" s="501">
        <v>2272.0500000000002</v>
      </c>
      <c r="R358" s="501">
        <v>2272.89</v>
      </c>
      <c r="S358" s="501">
        <v>2250.77</v>
      </c>
      <c r="T358" s="501">
        <v>2280.8200000000002</v>
      </c>
      <c r="U358" s="501">
        <v>2351.15</v>
      </c>
      <c r="V358" s="501">
        <v>2393.34</v>
      </c>
      <c r="W358" s="501">
        <v>2351.6</v>
      </c>
      <c r="X358" s="501">
        <v>2287.13</v>
      </c>
      <c r="Y358" s="501">
        <v>2149.91</v>
      </c>
      <c r="Z358" s="502"/>
    </row>
    <row r="359" spans="1:26">
      <c r="A359" s="500">
        <v>45061</v>
      </c>
      <c r="B359" s="501">
        <v>1981.38</v>
      </c>
      <c r="C359" s="501">
        <v>1812.9</v>
      </c>
      <c r="D359" s="501">
        <v>1761.85</v>
      </c>
      <c r="E359" s="501">
        <v>1742.68</v>
      </c>
      <c r="F359" s="501">
        <v>1787.93</v>
      </c>
      <c r="G359" s="501">
        <v>1882.26</v>
      </c>
      <c r="H359" s="501">
        <v>2123.52</v>
      </c>
      <c r="I359" s="501">
        <v>2320.7399999999998</v>
      </c>
      <c r="J359" s="501">
        <v>2563.44</v>
      </c>
      <c r="K359" s="501">
        <v>2596.4899999999998</v>
      </c>
      <c r="L359" s="501">
        <v>2576.46</v>
      </c>
      <c r="M359" s="501">
        <v>2587.64</v>
      </c>
      <c r="N359" s="501">
        <v>2587.0500000000002</v>
      </c>
      <c r="O359" s="501">
        <v>2607.59</v>
      </c>
      <c r="P359" s="501">
        <v>2563.75</v>
      </c>
      <c r="Q359" s="501">
        <v>2537.73</v>
      </c>
      <c r="R359" s="501">
        <v>2519.11</v>
      </c>
      <c r="S359" s="501">
        <v>2491.39</v>
      </c>
      <c r="T359" s="501">
        <v>2463.96</v>
      </c>
      <c r="U359" s="501">
        <v>2459.88</v>
      </c>
      <c r="V359" s="501">
        <v>2487.5</v>
      </c>
      <c r="W359" s="501">
        <v>2498.1999999999998</v>
      </c>
      <c r="X359" s="501">
        <v>2300.6999999999998</v>
      </c>
      <c r="Y359" s="501">
        <v>2170.9</v>
      </c>
      <c r="Z359" s="502"/>
    </row>
    <row r="360" spans="1:26">
      <c r="A360" s="500">
        <v>45062</v>
      </c>
      <c r="B360" s="501">
        <v>1928.29</v>
      </c>
      <c r="C360" s="501">
        <v>1853.19</v>
      </c>
      <c r="D360" s="501">
        <v>1781.59</v>
      </c>
      <c r="E360" s="501">
        <v>1770.99</v>
      </c>
      <c r="F360" s="501">
        <v>1808.5</v>
      </c>
      <c r="G360" s="501">
        <v>1967.95</v>
      </c>
      <c r="H360" s="501">
        <v>2157.38</v>
      </c>
      <c r="I360" s="501">
        <v>2314.81</v>
      </c>
      <c r="J360" s="501">
        <v>2527.75</v>
      </c>
      <c r="K360" s="501">
        <v>2551.29</v>
      </c>
      <c r="L360" s="501">
        <v>2533.66</v>
      </c>
      <c r="M360" s="501">
        <v>2529.38</v>
      </c>
      <c r="N360" s="501">
        <v>2520.3000000000002</v>
      </c>
      <c r="O360" s="501">
        <v>2548.86</v>
      </c>
      <c r="P360" s="501">
        <v>2521.31</v>
      </c>
      <c r="Q360" s="501">
        <v>2435.54</v>
      </c>
      <c r="R360" s="501">
        <v>2379.4499999999998</v>
      </c>
      <c r="S360" s="501">
        <v>2360.3000000000002</v>
      </c>
      <c r="T360" s="501">
        <v>2337</v>
      </c>
      <c r="U360" s="501">
        <v>2350.6799999999998</v>
      </c>
      <c r="V360" s="501">
        <v>2413.79</v>
      </c>
      <c r="W360" s="501">
        <v>2470.2199999999998</v>
      </c>
      <c r="X360" s="501">
        <v>2267.92</v>
      </c>
      <c r="Y360" s="501">
        <v>2084.4899999999998</v>
      </c>
      <c r="Z360" s="502"/>
    </row>
    <row r="361" spans="1:26">
      <c r="A361" s="500">
        <v>45063</v>
      </c>
      <c r="B361" s="501">
        <v>1851.3</v>
      </c>
      <c r="C361" s="501">
        <v>1769.54</v>
      </c>
      <c r="D361" s="501">
        <v>1710.48</v>
      </c>
      <c r="E361" s="501">
        <v>1668.76</v>
      </c>
      <c r="F361" s="501">
        <v>1712.21</v>
      </c>
      <c r="G361" s="501">
        <v>1839.78</v>
      </c>
      <c r="H361" s="501">
        <v>2108.62</v>
      </c>
      <c r="I361" s="501">
        <v>2283.4499999999998</v>
      </c>
      <c r="J361" s="501">
        <v>2475.11</v>
      </c>
      <c r="K361" s="501">
        <v>2537.85</v>
      </c>
      <c r="L361" s="501">
        <v>2499.6</v>
      </c>
      <c r="M361" s="501">
        <v>2534.88</v>
      </c>
      <c r="N361" s="501">
        <v>2523.6999999999998</v>
      </c>
      <c r="O361" s="501">
        <v>2536.37</v>
      </c>
      <c r="P361" s="501">
        <v>2481.06</v>
      </c>
      <c r="Q361" s="501">
        <v>2417.5500000000002</v>
      </c>
      <c r="R361" s="501">
        <v>2356.4299999999998</v>
      </c>
      <c r="S361" s="501">
        <v>2330.2800000000002</v>
      </c>
      <c r="T361" s="501">
        <v>2316.6799999999998</v>
      </c>
      <c r="U361" s="501">
        <v>2331.94</v>
      </c>
      <c r="V361" s="501">
        <v>2368.75</v>
      </c>
      <c r="W361" s="501">
        <v>2436.2800000000002</v>
      </c>
      <c r="X361" s="501">
        <v>2277.88</v>
      </c>
      <c r="Y361" s="501">
        <v>2033.38</v>
      </c>
      <c r="Z361" s="502"/>
    </row>
    <row r="362" spans="1:26">
      <c r="A362" s="500">
        <v>45064</v>
      </c>
      <c r="B362" s="501">
        <v>1899.43</v>
      </c>
      <c r="C362" s="501">
        <v>1818.44</v>
      </c>
      <c r="D362" s="501">
        <v>1721.82</v>
      </c>
      <c r="E362" s="501">
        <v>1705.37</v>
      </c>
      <c r="F362" s="501">
        <v>1782.33</v>
      </c>
      <c r="G362" s="501">
        <v>1888.51</v>
      </c>
      <c r="H362" s="501">
        <v>2084.44</v>
      </c>
      <c r="I362" s="501">
        <v>2283.36</v>
      </c>
      <c r="J362" s="501">
        <v>2473.5500000000002</v>
      </c>
      <c r="K362" s="501">
        <v>2513.0500000000002</v>
      </c>
      <c r="L362" s="501">
        <v>2490.71</v>
      </c>
      <c r="M362" s="501">
        <v>2497.9</v>
      </c>
      <c r="N362" s="501">
        <v>2494.11</v>
      </c>
      <c r="O362" s="501">
        <v>2509.21</v>
      </c>
      <c r="P362" s="501">
        <v>2496.2800000000002</v>
      </c>
      <c r="Q362" s="501">
        <v>2481.7600000000002</v>
      </c>
      <c r="R362" s="501">
        <v>2486.5700000000002</v>
      </c>
      <c r="S362" s="501">
        <v>2484.9299999999998</v>
      </c>
      <c r="T362" s="501">
        <v>2473.5300000000002</v>
      </c>
      <c r="U362" s="501">
        <v>2496.3200000000002</v>
      </c>
      <c r="V362" s="501">
        <v>2502.0700000000002</v>
      </c>
      <c r="W362" s="501">
        <v>2509.15</v>
      </c>
      <c r="X362" s="501">
        <v>2314.52</v>
      </c>
      <c r="Y362" s="501">
        <v>2153.2399999999998</v>
      </c>
      <c r="Z362" s="502"/>
    </row>
    <row r="363" spans="1:26">
      <c r="A363" s="500">
        <v>45065</v>
      </c>
      <c r="B363" s="501">
        <v>1894.77</v>
      </c>
      <c r="C363" s="501">
        <v>1759.89</v>
      </c>
      <c r="D363" s="501">
        <v>1679.29</v>
      </c>
      <c r="E363" s="501">
        <v>1645.65</v>
      </c>
      <c r="F363" s="501">
        <v>1675.75</v>
      </c>
      <c r="G363" s="501">
        <v>1945.72</v>
      </c>
      <c r="H363" s="501">
        <v>2125.9299999999998</v>
      </c>
      <c r="I363" s="501">
        <v>2384.5700000000002</v>
      </c>
      <c r="J363" s="501">
        <v>2572.63</v>
      </c>
      <c r="K363" s="501">
        <v>2622.72</v>
      </c>
      <c r="L363" s="501">
        <v>2610.2399999999998</v>
      </c>
      <c r="M363" s="501">
        <v>2625.4</v>
      </c>
      <c r="N363" s="501">
        <v>2625.84</v>
      </c>
      <c r="O363" s="501">
        <v>2628.35</v>
      </c>
      <c r="P363" s="501">
        <v>2614.6799999999998</v>
      </c>
      <c r="Q363" s="501">
        <v>2600.4</v>
      </c>
      <c r="R363" s="501">
        <v>2572.21</v>
      </c>
      <c r="S363" s="501">
        <v>2555.1799999999998</v>
      </c>
      <c r="T363" s="501">
        <v>2533.4</v>
      </c>
      <c r="U363" s="501">
        <v>2535.0500000000002</v>
      </c>
      <c r="V363" s="501">
        <v>2548.12</v>
      </c>
      <c r="W363" s="501">
        <v>2547.12</v>
      </c>
      <c r="X363" s="501">
        <v>2383.21</v>
      </c>
      <c r="Y363" s="501">
        <v>2179.9</v>
      </c>
      <c r="Z363" s="502"/>
    </row>
    <row r="364" spans="1:26">
      <c r="A364" s="500">
        <v>45066</v>
      </c>
      <c r="B364" s="501">
        <v>2175.4</v>
      </c>
      <c r="C364" s="501">
        <v>2060.54</v>
      </c>
      <c r="D364" s="501">
        <v>1988.59</v>
      </c>
      <c r="E364" s="501">
        <v>1887.96</v>
      </c>
      <c r="F364" s="501">
        <v>1885.25</v>
      </c>
      <c r="G364" s="501">
        <v>1946.58</v>
      </c>
      <c r="H364" s="501">
        <v>2053.16</v>
      </c>
      <c r="I364" s="501">
        <v>2232.56</v>
      </c>
      <c r="J364" s="501">
        <v>2433.67</v>
      </c>
      <c r="K364" s="501">
        <v>2565.64</v>
      </c>
      <c r="L364" s="501">
        <v>2603.62</v>
      </c>
      <c r="M364" s="501">
        <v>2586.1</v>
      </c>
      <c r="N364" s="501">
        <v>2512.1</v>
      </c>
      <c r="O364" s="501">
        <v>2487.2600000000002</v>
      </c>
      <c r="P364" s="501">
        <v>2474.9</v>
      </c>
      <c r="Q364" s="501">
        <v>2442.2399999999998</v>
      </c>
      <c r="R364" s="501">
        <v>2428.1</v>
      </c>
      <c r="S364" s="501">
        <v>2400.0300000000002</v>
      </c>
      <c r="T364" s="501">
        <v>2404.33</v>
      </c>
      <c r="U364" s="501">
        <v>2439.67</v>
      </c>
      <c r="V364" s="501">
        <v>2475.08</v>
      </c>
      <c r="W364" s="501">
        <v>2443.19</v>
      </c>
      <c r="X364" s="501">
        <v>2300.06</v>
      </c>
      <c r="Y364" s="501">
        <v>2137.81</v>
      </c>
      <c r="Z364" s="502"/>
    </row>
    <row r="365" spans="1:26">
      <c r="A365" s="500">
        <v>45067</v>
      </c>
      <c r="B365" s="501">
        <v>2114.0300000000002</v>
      </c>
      <c r="C365" s="501">
        <v>1985.4</v>
      </c>
      <c r="D365" s="501">
        <v>1874.88</v>
      </c>
      <c r="E365" s="501">
        <v>1800.78</v>
      </c>
      <c r="F365" s="501">
        <v>1797.18</v>
      </c>
      <c r="G365" s="501">
        <v>1769.04</v>
      </c>
      <c r="H365" s="501">
        <v>1852.43</v>
      </c>
      <c r="I365" s="501">
        <v>2078.2800000000002</v>
      </c>
      <c r="J365" s="501">
        <v>2246.14</v>
      </c>
      <c r="K365" s="501">
        <v>2362.5100000000002</v>
      </c>
      <c r="L365" s="501">
        <v>2397.73</v>
      </c>
      <c r="M365" s="501">
        <v>2406.1</v>
      </c>
      <c r="N365" s="501">
        <v>2400.86</v>
      </c>
      <c r="O365" s="501">
        <v>2393.04</v>
      </c>
      <c r="P365" s="501">
        <v>2395.9899999999998</v>
      </c>
      <c r="Q365" s="501">
        <v>2398.08</v>
      </c>
      <c r="R365" s="501">
        <v>2393.2600000000002</v>
      </c>
      <c r="S365" s="501">
        <v>2387.13</v>
      </c>
      <c r="T365" s="501">
        <v>2448.92</v>
      </c>
      <c r="U365" s="501">
        <v>2534.54</v>
      </c>
      <c r="V365" s="501">
        <v>2564.65</v>
      </c>
      <c r="W365" s="501">
        <v>2501.3000000000002</v>
      </c>
      <c r="X365" s="501">
        <v>2352.58</v>
      </c>
      <c r="Y365" s="501">
        <v>2181.94</v>
      </c>
      <c r="Z365" s="502"/>
    </row>
    <row r="366" spans="1:26">
      <c r="A366" s="500">
        <v>45068</v>
      </c>
      <c r="B366" s="501">
        <v>1995.17</v>
      </c>
      <c r="C366" s="501">
        <v>1857.24</v>
      </c>
      <c r="D366" s="501">
        <v>1796.37</v>
      </c>
      <c r="E366" s="501">
        <v>1791.97</v>
      </c>
      <c r="F366" s="501">
        <v>1794.76</v>
      </c>
      <c r="G366" s="501">
        <v>1857.96</v>
      </c>
      <c r="H366" s="501">
        <v>2111.6799999999998</v>
      </c>
      <c r="I366" s="501">
        <v>2357.23</v>
      </c>
      <c r="J366" s="501">
        <v>2583.79</v>
      </c>
      <c r="K366" s="501">
        <v>2629.43</v>
      </c>
      <c r="L366" s="501">
        <v>2611.19</v>
      </c>
      <c r="M366" s="501">
        <v>2610.06</v>
      </c>
      <c r="N366" s="501">
        <v>2565.73</v>
      </c>
      <c r="O366" s="501">
        <v>2594.67</v>
      </c>
      <c r="P366" s="501">
        <v>2574.9699999999998</v>
      </c>
      <c r="Q366" s="501">
        <v>2546.4699999999998</v>
      </c>
      <c r="R366" s="501">
        <v>2527.09</v>
      </c>
      <c r="S366" s="501">
        <v>2534.85</v>
      </c>
      <c r="T366" s="501">
        <v>2517.59</v>
      </c>
      <c r="U366" s="501">
        <v>2491.73</v>
      </c>
      <c r="V366" s="501">
        <v>2521.65</v>
      </c>
      <c r="W366" s="501">
        <v>2548.46</v>
      </c>
      <c r="X366" s="501">
        <v>2289.14</v>
      </c>
      <c r="Y366" s="501">
        <v>2116.15</v>
      </c>
      <c r="Z366" s="502"/>
    </row>
    <row r="367" spans="1:26">
      <c r="A367" s="500">
        <v>45069</v>
      </c>
      <c r="B367" s="501">
        <v>2013.06</v>
      </c>
      <c r="C367" s="501">
        <v>1870.1</v>
      </c>
      <c r="D367" s="501">
        <v>1785.52</v>
      </c>
      <c r="E367" s="501">
        <v>1758.05</v>
      </c>
      <c r="F367" s="501">
        <v>1920.3</v>
      </c>
      <c r="G367" s="501">
        <v>2079.6799999999998</v>
      </c>
      <c r="H367" s="501">
        <v>2172.5500000000002</v>
      </c>
      <c r="I367" s="501">
        <v>2359.7800000000002</v>
      </c>
      <c r="J367" s="501">
        <v>2540.19</v>
      </c>
      <c r="K367" s="501">
        <v>2581.36</v>
      </c>
      <c r="L367" s="501">
        <v>2525.25</v>
      </c>
      <c r="M367" s="501">
        <v>2591.5100000000002</v>
      </c>
      <c r="N367" s="501">
        <v>2597.9899999999998</v>
      </c>
      <c r="O367" s="501">
        <v>2611.79</v>
      </c>
      <c r="P367" s="501">
        <v>2576.46</v>
      </c>
      <c r="Q367" s="501">
        <v>2554.11</v>
      </c>
      <c r="R367" s="501">
        <v>2537.2199999999998</v>
      </c>
      <c r="S367" s="501">
        <v>2507.77</v>
      </c>
      <c r="T367" s="501">
        <v>2479.17</v>
      </c>
      <c r="U367" s="501">
        <v>2467.15</v>
      </c>
      <c r="V367" s="501">
        <v>2470.16</v>
      </c>
      <c r="W367" s="501">
        <v>2467.17</v>
      </c>
      <c r="X367" s="501">
        <v>2301.35</v>
      </c>
      <c r="Y367" s="501">
        <v>2069.7199999999998</v>
      </c>
      <c r="Z367" s="502"/>
    </row>
    <row r="368" spans="1:26">
      <c r="A368" s="500">
        <v>45070</v>
      </c>
      <c r="B368" s="501">
        <v>2033.44</v>
      </c>
      <c r="C368" s="501">
        <v>1835.81</v>
      </c>
      <c r="D368" s="501">
        <v>1804.6</v>
      </c>
      <c r="E368" s="501">
        <v>1769.77</v>
      </c>
      <c r="F368" s="501">
        <v>1791.66</v>
      </c>
      <c r="G368" s="501">
        <v>1986.55</v>
      </c>
      <c r="H368" s="501">
        <v>2312.6</v>
      </c>
      <c r="I368" s="501">
        <v>2480.63</v>
      </c>
      <c r="J368" s="501">
        <v>2578.46</v>
      </c>
      <c r="K368" s="501">
        <v>2593.14</v>
      </c>
      <c r="L368" s="501">
        <v>2583.91</v>
      </c>
      <c r="M368" s="501">
        <v>2574.2399999999998</v>
      </c>
      <c r="N368" s="501">
        <v>2570.06</v>
      </c>
      <c r="O368" s="501">
        <v>2575.65</v>
      </c>
      <c r="P368" s="501">
        <v>2570.63</v>
      </c>
      <c r="Q368" s="501">
        <v>2577.52</v>
      </c>
      <c r="R368" s="501">
        <v>2564.0700000000002</v>
      </c>
      <c r="S368" s="501">
        <v>2556.98</v>
      </c>
      <c r="T368" s="501">
        <v>2554.46</v>
      </c>
      <c r="U368" s="501">
        <v>2556.96</v>
      </c>
      <c r="V368" s="501">
        <v>2559.1799999999998</v>
      </c>
      <c r="W368" s="501">
        <v>2549.65</v>
      </c>
      <c r="X368" s="501">
        <v>2446.34</v>
      </c>
      <c r="Y368" s="501">
        <v>2147.9699999999998</v>
      </c>
      <c r="Z368" s="502"/>
    </row>
    <row r="369" spans="1:26">
      <c r="A369" s="500">
        <v>45071</v>
      </c>
      <c r="B369" s="501">
        <v>1873.29</v>
      </c>
      <c r="C369" s="501">
        <v>1772.81</v>
      </c>
      <c r="D369" s="501">
        <v>1718.14</v>
      </c>
      <c r="E369" s="501">
        <v>1679.19</v>
      </c>
      <c r="F369" s="501">
        <v>1692.28</v>
      </c>
      <c r="G369" s="501">
        <v>1876.44</v>
      </c>
      <c r="H369" s="501">
        <v>2275.06</v>
      </c>
      <c r="I369" s="501">
        <v>2434.5</v>
      </c>
      <c r="J369" s="501">
        <v>2603.4699999999998</v>
      </c>
      <c r="K369" s="501">
        <v>2601.23</v>
      </c>
      <c r="L369" s="501">
        <v>2595.86</v>
      </c>
      <c r="M369" s="501">
        <v>2591.5500000000002</v>
      </c>
      <c r="N369" s="501">
        <v>2593.9699999999998</v>
      </c>
      <c r="O369" s="501">
        <v>2592.61</v>
      </c>
      <c r="P369" s="501">
        <v>2610.83</v>
      </c>
      <c r="Q369" s="501">
        <v>2608.5100000000002</v>
      </c>
      <c r="R369" s="501">
        <v>2587.34</v>
      </c>
      <c r="S369" s="501">
        <v>2583.87</v>
      </c>
      <c r="T369" s="501">
        <v>2581.35</v>
      </c>
      <c r="U369" s="501">
        <v>2585.54</v>
      </c>
      <c r="V369" s="501">
        <v>2589.16</v>
      </c>
      <c r="W369" s="501">
        <v>2574</v>
      </c>
      <c r="X369" s="501">
        <v>2471.2800000000002</v>
      </c>
      <c r="Y369" s="501">
        <v>2082.9899999999998</v>
      </c>
      <c r="Z369" s="502"/>
    </row>
    <row r="370" spans="1:26">
      <c r="A370" s="500">
        <v>45072</v>
      </c>
      <c r="B370" s="501">
        <v>1967.63</v>
      </c>
      <c r="C370" s="501">
        <v>1837.45</v>
      </c>
      <c r="D370" s="501">
        <v>1780.44</v>
      </c>
      <c r="E370" s="501">
        <v>1744.19</v>
      </c>
      <c r="F370" s="501">
        <v>1780.3</v>
      </c>
      <c r="G370" s="501">
        <v>1901.84</v>
      </c>
      <c r="H370" s="501">
        <v>2317.2800000000002</v>
      </c>
      <c r="I370" s="501">
        <v>2485.4699999999998</v>
      </c>
      <c r="J370" s="501">
        <v>2686.58</v>
      </c>
      <c r="K370" s="501">
        <v>2691.23</v>
      </c>
      <c r="L370" s="501">
        <v>2689.11</v>
      </c>
      <c r="M370" s="501">
        <v>2685.25</v>
      </c>
      <c r="N370" s="501">
        <v>2687.6</v>
      </c>
      <c r="O370" s="501">
        <v>2687.78</v>
      </c>
      <c r="P370" s="501">
        <v>2701.23</v>
      </c>
      <c r="Q370" s="501">
        <v>2695.81</v>
      </c>
      <c r="R370" s="501">
        <v>2672.61</v>
      </c>
      <c r="S370" s="501">
        <v>2667.56</v>
      </c>
      <c r="T370" s="501">
        <v>2663.43</v>
      </c>
      <c r="U370" s="501">
        <v>2660.96</v>
      </c>
      <c r="V370" s="501">
        <v>2668.06</v>
      </c>
      <c r="W370" s="501">
        <v>2655.89</v>
      </c>
      <c r="X370" s="501">
        <v>2593.2800000000002</v>
      </c>
      <c r="Y370" s="501">
        <v>2322.87</v>
      </c>
      <c r="Z370" s="502"/>
    </row>
    <row r="371" spans="1:26">
      <c r="A371" s="500">
        <v>45073</v>
      </c>
      <c r="B371" s="501">
        <v>2260.8200000000002</v>
      </c>
      <c r="C371" s="501">
        <v>2026.1</v>
      </c>
      <c r="D371" s="501">
        <v>1889.5</v>
      </c>
      <c r="E371" s="501">
        <v>1850.54</v>
      </c>
      <c r="F371" s="501">
        <v>1834.39</v>
      </c>
      <c r="G371" s="501">
        <v>1821.66</v>
      </c>
      <c r="H371" s="501">
        <v>2154.2199999999998</v>
      </c>
      <c r="I371" s="501">
        <v>2316.5</v>
      </c>
      <c r="J371" s="501">
        <v>2563.2600000000002</v>
      </c>
      <c r="K371" s="501">
        <v>2615.14</v>
      </c>
      <c r="L371" s="501">
        <v>2614.5</v>
      </c>
      <c r="M371" s="501">
        <v>2613.92</v>
      </c>
      <c r="N371" s="501">
        <v>2612.4899999999998</v>
      </c>
      <c r="O371" s="501">
        <v>2607.48</v>
      </c>
      <c r="P371" s="501">
        <v>2599.9299999999998</v>
      </c>
      <c r="Q371" s="501">
        <v>2597.09</v>
      </c>
      <c r="R371" s="501">
        <v>2598.15</v>
      </c>
      <c r="S371" s="501">
        <v>2573.77</v>
      </c>
      <c r="T371" s="501">
        <v>2570.73</v>
      </c>
      <c r="U371" s="501">
        <v>2575.64</v>
      </c>
      <c r="V371" s="501">
        <v>2607.46</v>
      </c>
      <c r="W371" s="501">
        <v>2598.7800000000002</v>
      </c>
      <c r="X371" s="501">
        <v>2535.9499999999998</v>
      </c>
      <c r="Y371" s="501">
        <v>2223.11</v>
      </c>
      <c r="Z371" s="502"/>
    </row>
    <row r="372" spans="1:26">
      <c r="A372" s="500">
        <v>45074</v>
      </c>
      <c r="B372" s="501">
        <v>2135.16</v>
      </c>
      <c r="C372" s="501">
        <v>1974.23</v>
      </c>
      <c r="D372" s="501">
        <v>1859.37</v>
      </c>
      <c r="E372" s="501">
        <v>1831.63</v>
      </c>
      <c r="F372" s="501">
        <v>1809.83</v>
      </c>
      <c r="G372" s="501">
        <v>1799.2</v>
      </c>
      <c r="H372" s="501">
        <v>2013.68</v>
      </c>
      <c r="I372" s="501">
        <v>2169.73</v>
      </c>
      <c r="J372" s="501">
        <v>2419.33</v>
      </c>
      <c r="K372" s="501">
        <v>2557.4499999999998</v>
      </c>
      <c r="L372" s="501">
        <v>2562.6999999999998</v>
      </c>
      <c r="M372" s="501">
        <v>2561.11</v>
      </c>
      <c r="N372" s="501">
        <v>2560.83</v>
      </c>
      <c r="O372" s="501">
        <v>2560.94</v>
      </c>
      <c r="P372" s="501">
        <v>2560.65</v>
      </c>
      <c r="Q372" s="501">
        <v>2561.6799999999998</v>
      </c>
      <c r="R372" s="501">
        <v>2568.12</v>
      </c>
      <c r="S372" s="501">
        <v>2570.69</v>
      </c>
      <c r="T372" s="501">
        <v>2568.7800000000002</v>
      </c>
      <c r="U372" s="501">
        <v>2565.66</v>
      </c>
      <c r="V372" s="501">
        <v>2577.6</v>
      </c>
      <c r="W372" s="501">
        <v>2568.12</v>
      </c>
      <c r="X372" s="501">
        <v>2490.33</v>
      </c>
      <c r="Y372" s="501">
        <v>2205.5700000000002</v>
      </c>
      <c r="Z372" s="502"/>
    </row>
    <row r="373" spans="1:26">
      <c r="A373" s="500">
        <v>45075</v>
      </c>
      <c r="B373" s="501">
        <v>2060.69</v>
      </c>
      <c r="C373" s="501">
        <v>1905.39</v>
      </c>
      <c r="D373" s="501">
        <v>1820.42</v>
      </c>
      <c r="E373" s="501">
        <v>1784.73</v>
      </c>
      <c r="F373" s="501">
        <v>1806.63</v>
      </c>
      <c r="G373" s="501">
        <v>1891.04</v>
      </c>
      <c r="H373" s="501">
        <v>2325.1999999999998</v>
      </c>
      <c r="I373" s="501">
        <v>2551.31</v>
      </c>
      <c r="J373" s="501">
        <v>2638.68</v>
      </c>
      <c r="K373" s="501">
        <v>2640.28</v>
      </c>
      <c r="L373" s="501">
        <v>2637.2</v>
      </c>
      <c r="M373" s="501">
        <v>2636.07</v>
      </c>
      <c r="N373" s="501">
        <v>2637.94</v>
      </c>
      <c r="O373" s="501">
        <v>2635.93</v>
      </c>
      <c r="P373" s="501">
        <v>2633.43</v>
      </c>
      <c r="Q373" s="501">
        <v>2627.59</v>
      </c>
      <c r="R373" s="501">
        <v>2622.82</v>
      </c>
      <c r="S373" s="501">
        <v>2621.48</v>
      </c>
      <c r="T373" s="501">
        <v>2616.81</v>
      </c>
      <c r="U373" s="501">
        <v>2617.87</v>
      </c>
      <c r="V373" s="501">
        <v>2618.4299999999998</v>
      </c>
      <c r="W373" s="501">
        <v>2609.79</v>
      </c>
      <c r="X373" s="501">
        <v>2563.5300000000002</v>
      </c>
      <c r="Y373" s="501">
        <v>2177.06</v>
      </c>
      <c r="Z373" s="502"/>
    </row>
    <row r="374" spans="1:26">
      <c r="A374" s="500">
        <v>45076</v>
      </c>
      <c r="B374" s="501">
        <v>1986.61</v>
      </c>
      <c r="C374" s="501">
        <v>1850.97</v>
      </c>
      <c r="D374" s="501">
        <v>1825.85</v>
      </c>
      <c r="E374" s="501">
        <v>1802.48</v>
      </c>
      <c r="F374" s="501">
        <v>1827.65</v>
      </c>
      <c r="G374" s="501">
        <v>1992.2</v>
      </c>
      <c r="H374" s="501">
        <v>2327.1799999999998</v>
      </c>
      <c r="I374" s="501">
        <v>2566.09</v>
      </c>
      <c r="J374" s="501">
        <v>2680.44</v>
      </c>
      <c r="K374" s="501">
        <v>2682.35</v>
      </c>
      <c r="L374" s="501">
        <v>2680.63</v>
      </c>
      <c r="M374" s="501">
        <v>2676.84</v>
      </c>
      <c r="N374" s="501">
        <v>2680.19</v>
      </c>
      <c r="O374" s="501">
        <v>2679.53</v>
      </c>
      <c r="P374" s="501">
        <v>2677.17</v>
      </c>
      <c r="Q374" s="501">
        <v>2672.62</v>
      </c>
      <c r="R374" s="501">
        <v>2667.69</v>
      </c>
      <c r="S374" s="501">
        <v>2663.95</v>
      </c>
      <c r="T374" s="501">
        <v>2657.79</v>
      </c>
      <c r="U374" s="501">
        <v>2657.08</v>
      </c>
      <c r="V374" s="501">
        <v>2658.92</v>
      </c>
      <c r="W374" s="501">
        <v>2636.85</v>
      </c>
      <c r="X374" s="501">
        <v>2545.4499999999998</v>
      </c>
      <c r="Y374" s="501">
        <v>2204.79</v>
      </c>
      <c r="Z374" s="502"/>
    </row>
    <row r="375" spans="1:26">
      <c r="A375" s="500">
        <v>45077</v>
      </c>
      <c r="B375" s="501">
        <v>1938.64</v>
      </c>
      <c r="C375" s="501">
        <v>1813.08</v>
      </c>
      <c r="D375" s="501">
        <v>1752.58</v>
      </c>
      <c r="E375" s="501">
        <v>1718.9</v>
      </c>
      <c r="F375" s="501">
        <v>1714.9</v>
      </c>
      <c r="G375" s="501">
        <v>1879.89</v>
      </c>
      <c r="H375" s="501">
        <v>2281.0500000000002</v>
      </c>
      <c r="I375" s="501">
        <v>2518.81</v>
      </c>
      <c r="J375" s="501">
        <v>2704.69</v>
      </c>
      <c r="K375" s="501">
        <v>2704.86</v>
      </c>
      <c r="L375" s="501">
        <v>2702.41</v>
      </c>
      <c r="M375" s="501">
        <v>2698.62</v>
      </c>
      <c r="N375" s="501">
        <v>2702</v>
      </c>
      <c r="O375" s="501">
        <v>2698.67</v>
      </c>
      <c r="P375" s="501">
        <v>2689.52</v>
      </c>
      <c r="Q375" s="501">
        <v>2682.15</v>
      </c>
      <c r="R375" s="501">
        <v>2678.92</v>
      </c>
      <c r="S375" s="501">
        <v>2676.85</v>
      </c>
      <c r="T375" s="501">
        <v>2674.78</v>
      </c>
      <c r="U375" s="501">
        <v>2676.96</v>
      </c>
      <c r="V375" s="501">
        <v>2680.71</v>
      </c>
      <c r="W375" s="501">
        <v>2661.53</v>
      </c>
      <c r="X375" s="501">
        <v>2563.98</v>
      </c>
      <c r="Y375" s="501">
        <v>2261.11</v>
      </c>
      <c r="Z375" s="502"/>
    </row>
    <row r="376" spans="1:26">
      <c r="A376" s="503"/>
      <c r="B376" s="504"/>
      <c r="C376" s="489"/>
      <c r="D376" s="489"/>
      <c r="E376" s="489"/>
      <c r="F376" s="489"/>
      <c r="G376" s="489"/>
      <c r="H376" s="489"/>
      <c r="I376" s="489"/>
      <c r="J376" s="489"/>
      <c r="K376" s="491"/>
      <c r="L376" s="491"/>
      <c r="M376" s="491"/>
      <c r="N376" s="491"/>
      <c r="O376" s="491"/>
      <c r="P376" s="491"/>
      <c r="Q376" s="491"/>
      <c r="R376" s="491"/>
      <c r="S376" s="491"/>
      <c r="T376" s="491"/>
      <c r="U376" s="491"/>
      <c r="V376" s="491"/>
      <c r="W376" s="491"/>
      <c r="X376" s="491"/>
      <c r="Y376" s="491"/>
      <c r="Z376" s="505"/>
    </row>
    <row r="377" spans="1:26">
      <c r="A377" s="503"/>
      <c r="B377" s="504"/>
      <c r="C377" s="489"/>
      <c r="D377" s="489"/>
      <c r="E377" s="489"/>
      <c r="F377" s="489"/>
      <c r="G377" s="489"/>
      <c r="H377" s="489"/>
      <c r="I377" s="489"/>
      <c r="J377" s="489"/>
      <c r="K377" s="491"/>
      <c r="L377" s="491"/>
      <c r="M377" s="491"/>
      <c r="N377" s="491"/>
      <c r="O377" s="491"/>
      <c r="P377" s="491"/>
      <c r="Q377" s="491"/>
      <c r="R377" s="491"/>
      <c r="S377" s="491"/>
      <c r="T377" s="491"/>
      <c r="U377" s="491"/>
      <c r="V377" s="491"/>
      <c r="W377" s="491"/>
      <c r="X377" s="491"/>
      <c r="Y377" s="491"/>
      <c r="Z377" s="505"/>
    </row>
    <row r="378" spans="1:26" ht="16">
      <c r="A378" s="495" t="s">
        <v>711</v>
      </c>
      <c r="B378" s="866" t="s">
        <v>738</v>
      </c>
      <c r="C378" s="866"/>
      <c r="D378" s="866"/>
      <c r="E378" s="866"/>
      <c r="F378" s="866"/>
      <c r="G378" s="866"/>
      <c r="H378" s="866"/>
      <c r="I378" s="866"/>
      <c r="J378" s="866"/>
      <c r="K378" s="866"/>
      <c r="L378" s="866"/>
      <c r="M378" s="866"/>
      <c r="N378" s="866"/>
      <c r="O378" s="866"/>
      <c r="P378" s="866"/>
      <c r="Q378" s="866"/>
      <c r="R378" s="866"/>
      <c r="S378" s="866"/>
      <c r="T378" s="866"/>
      <c r="U378" s="866"/>
      <c r="V378" s="866"/>
      <c r="W378" s="866"/>
      <c r="X378" s="866"/>
      <c r="Y378" s="866"/>
      <c r="Z378" s="496"/>
    </row>
    <row r="379" spans="1:26" ht="17">
      <c r="A379" s="497" t="s">
        <v>280</v>
      </c>
      <c r="B379" s="498" t="s">
        <v>713</v>
      </c>
      <c r="C379" s="498" t="s">
        <v>714</v>
      </c>
      <c r="D379" s="498" t="s">
        <v>715</v>
      </c>
      <c r="E379" s="498" t="s">
        <v>716</v>
      </c>
      <c r="F379" s="498" t="s">
        <v>717</v>
      </c>
      <c r="G379" s="498" t="s">
        <v>718</v>
      </c>
      <c r="H379" s="498" t="s">
        <v>719</v>
      </c>
      <c r="I379" s="498" t="s">
        <v>720</v>
      </c>
      <c r="J379" s="498" t="s">
        <v>721</v>
      </c>
      <c r="K379" s="498" t="s">
        <v>722</v>
      </c>
      <c r="L379" s="498" t="s">
        <v>723</v>
      </c>
      <c r="M379" s="498" t="s">
        <v>724</v>
      </c>
      <c r="N379" s="498" t="s">
        <v>725</v>
      </c>
      <c r="O379" s="498" t="s">
        <v>726</v>
      </c>
      <c r="P379" s="498" t="s">
        <v>727</v>
      </c>
      <c r="Q379" s="498" t="s">
        <v>728</v>
      </c>
      <c r="R379" s="498" t="s">
        <v>729</v>
      </c>
      <c r="S379" s="498" t="s">
        <v>730</v>
      </c>
      <c r="T379" s="498" t="s">
        <v>731</v>
      </c>
      <c r="U379" s="498" t="s">
        <v>732</v>
      </c>
      <c r="V379" s="498" t="s">
        <v>733</v>
      </c>
      <c r="W379" s="498" t="s">
        <v>734</v>
      </c>
      <c r="X379" s="498" t="s">
        <v>735</v>
      </c>
      <c r="Y379" s="498" t="s">
        <v>736</v>
      </c>
      <c r="Z379" s="499"/>
    </row>
    <row r="380" spans="1:26">
      <c r="A380" s="500">
        <v>45047</v>
      </c>
      <c r="B380" s="501">
        <v>2334.5</v>
      </c>
      <c r="C380" s="501">
        <v>2233.2399999999998</v>
      </c>
      <c r="D380" s="501">
        <v>2168.11</v>
      </c>
      <c r="E380" s="501">
        <v>2111.9299999999998</v>
      </c>
      <c r="F380" s="501">
        <v>2096.86</v>
      </c>
      <c r="G380" s="501">
        <v>2121.04</v>
      </c>
      <c r="H380" s="501">
        <v>2175.61</v>
      </c>
      <c r="I380" s="501">
        <v>2309.4</v>
      </c>
      <c r="J380" s="501">
        <v>2530.94</v>
      </c>
      <c r="K380" s="501">
        <v>2668.05</v>
      </c>
      <c r="L380" s="501">
        <v>2674.29</v>
      </c>
      <c r="M380" s="501">
        <v>2660.5</v>
      </c>
      <c r="N380" s="501">
        <v>2643.85</v>
      </c>
      <c r="O380" s="501">
        <v>2634.35</v>
      </c>
      <c r="P380" s="501">
        <v>2612.44</v>
      </c>
      <c r="Q380" s="501">
        <v>2593.04</v>
      </c>
      <c r="R380" s="501">
        <v>2590.6999999999998</v>
      </c>
      <c r="S380" s="501">
        <v>2604.42</v>
      </c>
      <c r="T380" s="501">
        <v>2669.25</v>
      </c>
      <c r="U380" s="501">
        <v>2730.43</v>
      </c>
      <c r="V380" s="501">
        <v>2761.02</v>
      </c>
      <c r="W380" s="501">
        <v>2701.94</v>
      </c>
      <c r="X380" s="501">
        <v>2605.7199999999998</v>
      </c>
      <c r="Y380" s="501">
        <v>2406.88</v>
      </c>
      <c r="Z380" s="502"/>
    </row>
    <row r="381" spans="1:26">
      <c r="A381" s="500">
        <v>45048</v>
      </c>
      <c r="B381" s="501">
        <v>2169.11</v>
      </c>
      <c r="C381" s="501">
        <v>2023.85</v>
      </c>
      <c r="D381" s="501">
        <v>1951.04</v>
      </c>
      <c r="E381" s="501">
        <v>1956.44</v>
      </c>
      <c r="F381" s="501">
        <v>1995.27</v>
      </c>
      <c r="G381" s="501">
        <v>2125.4</v>
      </c>
      <c r="H381" s="501">
        <v>2328.2600000000002</v>
      </c>
      <c r="I381" s="501">
        <v>2557.41</v>
      </c>
      <c r="J381" s="501">
        <v>2688.99</v>
      </c>
      <c r="K381" s="501">
        <v>2692.68</v>
      </c>
      <c r="L381" s="501">
        <v>2669.02</v>
      </c>
      <c r="M381" s="501">
        <v>2685.87</v>
      </c>
      <c r="N381" s="501">
        <v>2702.85</v>
      </c>
      <c r="O381" s="501">
        <v>2704.85</v>
      </c>
      <c r="P381" s="501">
        <v>2674.13</v>
      </c>
      <c r="Q381" s="501">
        <v>2636.99</v>
      </c>
      <c r="R381" s="501">
        <v>2615.9699999999998</v>
      </c>
      <c r="S381" s="501">
        <v>2607.4299999999998</v>
      </c>
      <c r="T381" s="501">
        <v>2604.5500000000002</v>
      </c>
      <c r="U381" s="501">
        <v>2610.86</v>
      </c>
      <c r="V381" s="501">
        <v>2626.59</v>
      </c>
      <c r="W381" s="501">
        <v>2602.81</v>
      </c>
      <c r="X381" s="501">
        <v>2433.25</v>
      </c>
      <c r="Y381" s="501">
        <v>2181.9699999999998</v>
      </c>
      <c r="Z381" s="502"/>
    </row>
    <row r="382" spans="1:26">
      <c r="A382" s="500">
        <v>45049</v>
      </c>
      <c r="B382" s="501">
        <v>2048.19</v>
      </c>
      <c r="C382" s="501">
        <v>1930.71</v>
      </c>
      <c r="D382" s="501">
        <v>1918.72</v>
      </c>
      <c r="E382" s="501">
        <v>1927.96</v>
      </c>
      <c r="F382" s="501">
        <v>1961.61</v>
      </c>
      <c r="G382" s="501">
        <v>2081.69</v>
      </c>
      <c r="H382" s="501">
        <v>2266.46</v>
      </c>
      <c r="I382" s="501">
        <v>2465.64</v>
      </c>
      <c r="J382" s="501">
        <v>2618.6799999999998</v>
      </c>
      <c r="K382" s="501">
        <v>2667.89</v>
      </c>
      <c r="L382" s="501">
        <v>2664.85</v>
      </c>
      <c r="M382" s="501">
        <v>2650.55</v>
      </c>
      <c r="N382" s="501">
        <v>2654.9</v>
      </c>
      <c r="O382" s="501">
        <v>2661.23</v>
      </c>
      <c r="P382" s="501">
        <v>2648.14</v>
      </c>
      <c r="Q382" s="501">
        <v>2645.76</v>
      </c>
      <c r="R382" s="501">
        <v>2656.61</v>
      </c>
      <c r="S382" s="501">
        <v>2649.2</v>
      </c>
      <c r="T382" s="501">
        <v>2629.46</v>
      </c>
      <c r="U382" s="501">
        <v>2646.88</v>
      </c>
      <c r="V382" s="501">
        <v>2643.62</v>
      </c>
      <c r="W382" s="501">
        <v>2609.71</v>
      </c>
      <c r="X382" s="501">
        <v>2404.04</v>
      </c>
      <c r="Y382" s="501">
        <v>2208.6999999999998</v>
      </c>
      <c r="Z382" s="502"/>
    </row>
    <row r="383" spans="1:26">
      <c r="A383" s="500">
        <v>45050</v>
      </c>
      <c r="B383" s="501">
        <v>2006.51</v>
      </c>
      <c r="C383" s="501">
        <v>1917.36</v>
      </c>
      <c r="D383" s="501">
        <v>1862.65</v>
      </c>
      <c r="E383" s="501">
        <v>1856.38</v>
      </c>
      <c r="F383" s="501">
        <v>1916.39</v>
      </c>
      <c r="G383" s="501">
        <v>1998.5</v>
      </c>
      <c r="H383" s="501">
        <v>2202.58</v>
      </c>
      <c r="I383" s="501">
        <v>2414.75</v>
      </c>
      <c r="J383" s="501">
        <v>2484.27</v>
      </c>
      <c r="K383" s="501">
        <v>2559.2199999999998</v>
      </c>
      <c r="L383" s="501">
        <v>2593.6999999999998</v>
      </c>
      <c r="M383" s="501">
        <v>2591.88</v>
      </c>
      <c r="N383" s="501">
        <v>2595.83</v>
      </c>
      <c r="O383" s="501">
        <v>2597.1</v>
      </c>
      <c r="P383" s="501">
        <v>2584.0700000000002</v>
      </c>
      <c r="Q383" s="501">
        <v>2559.9699999999998</v>
      </c>
      <c r="R383" s="501">
        <v>2537.34</v>
      </c>
      <c r="S383" s="501">
        <v>2508.9899999999998</v>
      </c>
      <c r="T383" s="501">
        <v>2473.31</v>
      </c>
      <c r="U383" s="501">
        <v>2539.98</v>
      </c>
      <c r="V383" s="501">
        <v>2584.87</v>
      </c>
      <c r="W383" s="501">
        <v>2581.44</v>
      </c>
      <c r="X383" s="501">
        <v>2431.2600000000002</v>
      </c>
      <c r="Y383" s="501">
        <v>2231.4899999999998</v>
      </c>
      <c r="Z383" s="502"/>
    </row>
    <row r="384" spans="1:26">
      <c r="A384" s="500">
        <v>45051</v>
      </c>
      <c r="B384" s="501">
        <v>2187.1799999999998</v>
      </c>
      <c r="C384" s="501">
        <v>2034.02</v>
      </c>
      <c r="D384" s="501">
        <v>1974.53</v>
      </c>
      <c r="E384" s="501">
        <v>1961.04</v>
      </c>
      <c r="F384" s="501">
        <v>2021.93</v>
      </c>
      <c r="G384" s="501">
        <v>2159.4299999999998</v>
      </c>
      <c r="H384" s="501">
        <v>2282.54</v>
      </c>
      <c r="I384" s="501">
        <v>2470.7399999999998</v>
      </c>
      <c r="J384" s="501">
        <v>2613.3000000000002</v>
      </c>
      <c r="K384" s="501">
        <v>2653.58</v>
      </c>
      <c r="L384" s="501">
        <v>2681.7</v>
      </c>
      <c r="M384" s="501">
        <v>2708.82</v>
      </c>
      <c r="N384" s="501">
        <v>2696.38</v>
      </c>
      <c r="O384" s="501">
        <v>2712.29</v>
      </c>
      <c r="P384" s="501">
        <v>2693.33</v>
      </c>
      <c r="Q384" s="501">
        <v>2666.14</v>
      </c>
      <c r="R384" s="501">
        <v>2647.51</v>
      </c>
      <c r="S384" s="501">
        <v>2631.67</v>
      </c>
      <c r="T384" s="501">
        <v>2617.7600000000002</v>
      </c>
      <c r="U384" s="501">
        <v>2614.02</v>
      </c>
      <c r="V384" s="501">
        <v>2621.46</v>
      </c>
      <c r="W384" s="501">
        <v>2617.8000000000002</v>
      </c>
      <c r="X384" s="501">
        <v>2503.2199999999998</v>
      </c>
      <c r="Y384" s="501">
        <v>2329.62</v>
      </c>
      <c r="Z384" s="502"/>
    </row>
    <row r="385" spans="1:26">
      <c r="A385" s="500">
        <v>45052</v>
      </c>
      <c r="B385" s="501">
        <v>2282.33</v>
      </c>
      <c r="C385" s="501">
        <v>2227.36</v>
      </c>
      <c r="D385" s="501">
        <v>2139.4</v>
      </c>
      <c r="E385" s="501">
        <v>2035.37</v>
      </c>
      <c r="F385" s="501">
        <v>2041.24</v>
      </c>
      <c r="G385" s="501">
        <v>2145.6999999999998</v>
      </c>
      <c r="H385" s="501">
        <v>2209.6</v>
      </c>
      <c r="I385" s="501">
        <v>2305.38</v>
      </c>
      <c r="J385" s="501">
        <v>2562.17</v>
      </c>
      <c r="K385" s="501">
        <v>2660.31</v>
      </c>
      <c r="L385" s="501">
        <v>2701.27</v>
      </c>
      <c r="M385" s="501">
        <v>2677.15</v>
      </c>
      <c r="N385" s="501">
        <v>2644.13</v>
      </c>
      <c r="O385" s="501">
        <v>2637.39</v>
      </c>
      <c r="P385" s="501">
        <v>2628.38</v>
      </c>
      <c r="Q385" s="501">
        <v>2625.86</v>
      </c>
      <c r="R385" s="501">
        <v>2612.6799999999998</v>
      </c>
      <c r="S385" s="501">
        <v>2592.27</v>
      </c>
      <c r="T385" s="501">
        <v>2591.11</v>
      </c>
      <c r="U385" s="501">
        <v>2641.88</v>
      </c>
      <c r="V385" s="501">
        <v>2664.23</v>
      </c>
      <c r="W385" s="501">
        <v>2620.9</v>
      </c>
      <c r="X385" s="501">
        <v>2561.4299999999998</v>
      </c>
      <c r="Y385" s="501">
        <v>2354.48</v>
      </c>
      <c r="Z385" s="502"/>
    </row>
    <row r="386" spans="1:26">
      <c r="A386" s="500">
        <v>45053</v>
      </c>
      <c r="B386" s="501">
        <v>2250.9499999999998</v>
      </c>
      <c r="C386" s="501">
        <v>2130.67</v>
      </c>
      <c r="D386" s="501">
        <v>2025.49</v>
      </c>
      <c r="E386" s="501">
        <v>1980.39</v>
      </c>
      <c r="F386" s="501">
        <v>1968.28</v>
      </c>
      <c r="G386" s="501">
        <v>1944.19</v>
      </c>
      <c r="H386" s="501">
        <v>2070.16</v>
      </c>
      <c r="I386" s="501">
        <v>2159.37</v>
      </c>
      <c r="J386" s="501">
        <v>2292.89</v>
      </c>
      <c r="K386" s="501">
        <v>2400.11</v>
      </c>
      <c r="L386" s="501">
        <v>2417.6999999999998</v>
      </c>
      <c r="M386" s="501">
        <v>2418.89</v>
      </c>
      <c r="N386" s="501">
        <v>2413.7199999999998</v>
      </c>
      <c r="O386" s="501">
        <v>2405.87</v>
      </c>
      <c r="P386" s="501">
        <v>2399.56</v>
      </c>
      <c r="Q386" s="501">
        <v>2399.5</v>
      </c>
      <c r="R386" s="501">
        <v>2401.88</v>
      </c>
      <c r="S386" s="501">
        <v>2404.09</v>
      </c>
      <c r="T386" s="501">
        <v>2432.6999999999998</v>
      </c>
      <c r="U386" s="501">
        <v>2492.2600000000002</v>
      </c>
      <c r="V386" s="501">
        <v>2577.6</v>
      </c>
      <c r="W386" s="501">
        <v>2501.21</v>
      </c>
      <c r="X386" s="501">
        <v>2443.11</v>
      </c>
      <c r="Y386" s="501">
        <v>2260.88</v>
      </c>
      <c r="Z386" s="502"/>
    </row>
    <row r="387" spans="1:26">
      <c r="A387" s="500">
        <v>45054</v>
      </c>
      <c r="B387" s="501">
        <v>2244.59</v>
      </c>
      <c r="C387" s="501">
        <v>2158.88</v>
      </c>
      <c r="D387" s="501">
        <v>2055.94</v>
      </c>
      <c r="E387" s="501">
        <v>1901.03</v>
      </c>
      <c r="F387" s="501">
        <v>1891.17</v>
      </c>
      <c r="G387" s="501">
        <v>1911.89</v>
      </c>
      <c r="H387" s="501">
        <v>2112.2800000000002</v>
      </c>
      <c r="I387" s="501">
        <v>2222.52</v>
      </c>
      <c r="J387" s="501">
        <v>2400.5300000000002</v>
      </c>
      <c r="K387" s="501">
        <v>2554.58</v>
      </c>
      <c r="L387" s="501">
        <v>2578.7800000000002</v>
      </c>
      <c r="M387" s="501">
        <v>2578.38</v>
      </c>
      <c r="N387" s="501">
        <v>2568.1</v>
      </c>
      <c r="O387" s="501">
        <v>2563.44</v>
      </c>
      <c r="P387" s="501">
        <v>2559.92</v>
      </c>
      <c r="Q387" s="501">
        <v>2555.79</v>
      </c>
      <c r="R387" s="501">
        <v>2546.54</v>
      </c>
      <c r="S387" s="501">
        <v>2513.62</v>
      </c>
      <c r="T387" s="501">
        <v>2531.54</v>
      </c>
      <c r="U387" s="501">
        <v>2573.14</v>
      </c>
      <c r="V387" s="501">
        <v>2587.63</v>
      </c>
      <c r="W387" s="501">
        <v>2533.9899999999998</v>
      </c>
      <c r="X387" s="501">
        <v>2481.61</v>
      </c>
      <c r="Y387" s="501">
        <v>2328.0100000000002</v>
      </c>
      <c r="Z387" s="502"/>
    </row>
    <row r="388" spans="1:26">
      <c r="A388" s="500">
        <v>45055</v>
      </c>
      <c r="B388" s="501">
        <v>2280.4299999999998</v>
      </c>
      <c r="C388" s="501">
        <v>2192.79</v>
      </c>
      <c r="D388" s="501">
        <v>2143.5700000000002</v>
      </c>
      <c r="E388" s="501">
        <v>2108.8200000000002</v>
      </c>
      <c r="F388" s="501">
        <v>2085.1799999999998</v>
      </c>
      <c r="G388" s="501">
        <v>2088.7199999999998</v>
      </c>
      <c r="H388" s="501">
        <v>2131.96</v>
      </c>
      <c r="I388" s="501">
        <v>2225.02</v>
      </c>
      <c r="J388" s="501">
        <v>2439.73</v>
      </c>
      <c r="K388" s="501">
        <v>2522.0700000000002</v>
      </c>
      <c r="L388" s="501">
        <v>2568.19</v>
      </c>
      <c r="M388" s="501">
        <v>2548.73</v>
      </c>
      <c r="N388" s="501">
        <v>2541.9699999999998</v>
      </c>
      <c r="O388" s="501">
        <v>2538.63</v>
      </c>
      <c r="P388" s="501">
        <v>2534.4</v>
      </c>
      <c r="Q388" s="501">
        <v>2525.87</v>
      </c>
      <c r="R388" s="501">
        <v>2498.2399999999998</v>
      </c>
      <c r="S388" s="501">
        <v>2497.7399999999998</v>
      </c>
      <c r="T388" s="501">
        <v>2513.84</v>
      </c>
      <c r="U388" s="501">
        <v>2556.9699999999998</v>
      </c>
      <c r="V388" s="501">
        <v>2613.58</v>
      </c>
      <c r="W388" s="501">
        <v>2597.5300000000002</v>
      </c>
      <c r="X388" s="501">
        <v>2555.33</v>
      </c>
      <c r="Y388" s="501">
        <v>2380.8000000000002</v>
      </c>
      <c r="Z388" s="502"/>
    </row>
    <row r="389" spans="1:26">
      <c r="A389" s="500">
        <v>45056</v>
      </c>
      <c r="B389" s="501">
        <v>2357.29</v>
      </c>
      <c r="C389" s="501">
        <v>2209.4</v>
      </c>
      <c r="D389" s="501">
        <v>2145.4</v>
      </c>
      <c r="E389" s="501">
        <v>2110.9699999999998</v>
      </c>
      <c r="F389" s="501">
        <v>2143.98</v>
      </c>
      <c r="G389" s="501">
        <v>2222.59</v>
      </c>
      <c r="H389" s="501">
        <v>2407.73</v>
      </c>
      <c r="I389" s="501">
        <v>2641.82</v>
      </c>
      <c r="J389" s="501">
        <v>2692.53</v>
      </c>
      <c r="K389" s="501">
        <v>2695.83</v>
      </c>
      <c r="L389" s="501">
        <v>2686.88</v>
      </c>
      <c r="M389" s="501">
        <v>2720.98</v>
      </c>
      <c r="N389" s="501">
        <v>2728.12</v>
      </c>
      <c r="O389" s="501">
        <v>2734.98</v>
      </c>
      <c r="P389" s="501">
        <v>2719.63</v>
      </c>
      <c r="Q389" s="501">
        <v>2709.13</v>
      </c>
      <c r="R389" s="501">
        <v>2688.39</v>
      </c>
      <c r="S389" s="501">
        <v>2668.32</v>
      </c>
      <c r="T389" s="501">
        <v>2661.57</v>
      </c>
      <c r="U389" s="501">
        <v>2647.83</v>
      </c>
      <c r="V389" s="501">
        <v>2659.1</v>
      </c>
      <c r="W389" s="501">
        <v>2663.94</v>
      </c>
      <c r="X389" s="501">
        <v>2482.79</v>
      </c>
      <c r="Y389" s="501">
        <v>2376.9899999999998</v>
      </c>
      <c r="Z389" s="502"/>
    </row>
    <row r="390" spans="1:26">
      <c r="A390" s="500">
        <v>45057</v>
      </c>
      <c r="B390" s="501">
        <v>2062.29</v>
      </c>
      <c r="C390" s="501">
        <v>1944.46</v>
      </c>
      <c r="D390" s="501">
        <v>1908.12</v>
      </c>
      <c r="E390" s="501">
        <v>1875.26</v>
      </c>
      <c r="F390" s="501">
        <v>1906.01</v>
      </c>
      <c r="G390" s="501">
        <v>2008.2</v>
      </c>
      <c r="H390" s="501">
        <v>2567.29</v>
      </c>
      <c r="I390" s="501">
        <v>2582.44</v>
      </c>
      <c r="J390" s="501">
        <v>2675.08</v>
      </c>
      <c r="K390" s="501">
        <v>2678.01</v>
      </c>
      <c r="L390" s="501">
        <v>2632.36</v>
      </c>
      <c r="M390" s="501">
        <v>2677.48</v>
      </c>
      <c r="N390" s="501">
        <v>2686.52</v>
      </c>
      <c r="O390" s="501">
        <v>2674.39</v>
      </c>
      <c r="P390" s="501">
        <v>2648.03</v>
      </c>
      <c r="Q390" s="501">
        <v>2574.14</v>
      </c>
      <c r="R390" s="501">
        <v>2522.2399999999998</v>
      </c>
      <c r="S390" s="501">
        <v>2506.0300000000002</v>
      </c>
      <c r="T390" s="501">
        <v>2489.15</v>
      </c>
      <c r="U390" s="501">
        <v>2501</v>
      </c>
      <c r="V390" s="501">
        <v>2530.59</v>
      </c>
      <c r="W390" s="501">
        <v>2531.04</v>
      </c>
      <c r="X390" s="501">
        <v>2400.36</v>
      </c>
      <c r="Y390" s="501">
        <v>2157.38</v>
      </c>
      <c r="Z390" s="502"/>
    </row>
    <row r="391" spans="1:26">
      <c r="A391" s="500">
        <v>45058</v>
      </c>
      <c r="B391" s="501">
        <v>2046.14</v>
      </c>
      <c r="C391" s="501">
        <v>1930.19</v>
      </c>
      <c r="D391" s="501">
        <v>1875.18</v>
      </c>
      <c r="E391" s="501">
        <v>1837.55</v>
      </c>
      <c r="F391" s="501">
        <v>1925.97</v>
      </c>
      <c r="G391" s="501">
        <v>2303.0500000000002</v>
      </c>
      <c r="H391" s="501">
        <v>2738.43</v>
      </c>
      <c r="I391" s="501">
        <v>2777.65</v>
      </c>
      <c r="J391" s="501">
        <v>2797.36</v>
      </c>
      <c r="K391" s="501">
        <v>2800.76</v>
      </c>
      <c r="L391" s="501">
        <v>2796.14</v>
      </c>
      <c r="M391" s="501">
        <v>2786.25</v>
      </c>
      <c r="N391" s="501">
        <v>2791.2</v>
      </c>
      <c r="O391" s="501">
        <v>2788.45</v>
      </c>
      <c r="P391" s="501">
        <v>2873.37</v>
      </c>
      <c r="Q391" s="501">
        <v>2876.64</v>
      </c>
      <c r="R391" s="501">
        <v>2692.32</v>
      </c>
      <c r="S391" s="501">
        <v>2689.61</v>
      </c>
      <c r="T391" s="501">
        <v>2676.5</v>
      </c>
      <c r="U391" s="501">
        <v>2675.71</v>
      </c>
      <c r="V391" s="501">
        <v>2686.71</v>
      </c>
      <c r="W391" s="501">
        <v>2649.73</v>
      </c>
      <c r="X391" s="501">
        <v>2492.1999999999998</v>
      </c>
      <c r="Y391" s="501">
        <v>2388.37</v>
      </c>
      <c r="Z391" s="502"/>
    </row>
    <row r="392" spans="1:26">
      <c r="A392" s="500">
        <v>45059</v>
      </c>
      <c r="B392" s="501">
        <v>2333.41</v>
      </c>
      <c r="C392" s="501">
        <v>2108.5500000000002</v>
      </c>
      <c r="D392" s="501">
        <v>1979.54</v>
      </c>
      <c r="E392" s="501">
        <v>1953.72</v>
      </c>
      <c r="F392" s="501">
        <v>1953.05</v>
      </c>
      <c r="G392" s="501">
        <v>1980.79</v>
      </c>
      <c r="H392" s="501">
        <v>2148.4699999999998</v>
      </c>
      <c r="I392" s="501">
        <v>2314.4499999999998</v>
      </c>
      <c r="J392" s="501">
        <v>2485.06</v>
      </c>
      <c r="K392" s="501">
        <v>2684.07</v>
      </c>
      <c r="L392" s="501">
        <v>2692.38</v>
      </c>
      <c r="M392" s="501">
        <v>2692.55</v>
      </c>
      <c r="N392" s="501">
        <v>2683.84</v>
      </c>
      <c r="O392" s="501">
        <v>2673.96</v>
      </c>
      <c r="P392" s="501">
        <v>2670.92</v>
      </c>
      <c r="Q392" s="501">
        <v>2655.4</v>
      </c>
      <c r="R392" s="501">
        <v>2613.08</v>
      </c>
      <c r="S392" s="501">
        <v>2566.9899999999998</v>
      </c>
      <c r="T392" s="501">
        <v>2563.2399999999998</v>
      </c>
      <c r="U392" s="501">
        <v>2604.35</v>
      </c>
      <c r="V392" s="501">
        <v>2623.16</v>
      </c>
      <c r="W392" s="501">
        <v>2582.7399999999998</v>
      </c>
      <c r="X392" s="501">
        <v>2518.85</v>
      </c>
      <c r="Y392" s="501">
        <v>2360.9299999999998</v>
      </c>
      <c r="Z392" s="502"/>
    </row>
    <row r="393" spans="1:26">
      <c r="A393" s="500">
        <v>45060</v>
      </c>
      <c r="B393" s="501">
        <v>2185.25</v>
      </c>
      <c r="C393" s="501">
        <v>2008.96</v>
      </c>
      <c r="D393" s="501">
        <v>1937.5</v>
      </c>
      <c r="E393" s="501">
        <v>1921.8</v>
      </c>
      <c r="F393" s="501">
        <v>1913.81</v>
      </c>
      <c r="G393" s="501">
        <v>1851.51</v>
      </c>
      <c r="H393" s="501">
        <v>1849.59</v>
      </c>
      <c r="I393" s="501">
        <v>2051.04</v>
      </c>
      <c r="J393" s="501">
        <v>2297.04</v>
      </c>
      <c r="K393" s="501">
        <v>2416.17</v>
      </c>
      <c r="L393" s="501">
        <v>2443.7800000000002</v>
      </c>
      <c r="M393" s="501">
        <v>2447.21</v>
      </c>
      <c r="N393" s="501">
        <v>2442.79</v>
      </c>
      <c r="O393" s="501">
        <v>2439.61</v>
      </c>
      <c r="P393" s="501">
        <v>2435.5300000000002</v>
      </c>
      <c r="Q393" s="501">
        <v>2439.94</v>
      </c>
      <c r="R393" s="501">
        <v>2440.7800000000002</v>
      </c>
      <c r="S393" s="501">
        <v>2418.66</v>
      </c>
      <c r="T393" s="501">
        <v>2448.71</v>
      </c>
      <c r="U393" s="501">
        <v>2519.04</v>
      </c>
      <c r="V393" s="501">
        <v>2561.23</v>
      </c>
      <c r="W393" s="501">
        <v>2519.4899999999998</v>
      </c>
      <c r="X393" s="501">
        <v>2455.02</v>
      </c>
      <c r="Y393" s="501">
        <v>2317.8000000000002</v>
      </c>
      <c r="Z393" s="502"/>
    </row>
    <row r="394" spans="1:26">
      <c r="A394" s="500">
        <v>45061</v>
      </c>
      <c r="B394" s="501">
        <v>2149.27</v>
      </c>
      <c r="C394" s="501">
        <v>1980.79</v>
      </c>
      <c r="D394" s="501">
        <v>1929.74</v>
      </c>
      <c r="E394" s="501">
        <v>1910.57</v>
      </c>
      <c r="F394" s="501">
        <v>1955.82</v>
      </c>
      <c r="G394" s="501">
        <v>2050.15</v>
      </c>
      <c r="H394" s="501">
        <v>2291.41</v>
      </c>
      <c r="I394" s="501">
        <v>2488.63</v>
      </c>
      <c r="J394" s="501">
        <v>2731.33</v>
      </c>
      <c r="K394" s="501">
        <v>2764.38</v>
      </c>
      <c r="L394" s="501">
        <v>2744.35</v>
      </c>
      <c r="M394" s="501">
        <v>2755.53</v>
      </c>
      <c r="N394" s="501">
        <v>2754.94</v>
      </c>
      <c r="O394" s="501">
        <v>2775.48</v>
      </c>
      <c r="P394" s="501">
        <v>2731.64</v>
      </c>
      <c r="Q394" s="501">
        <v>2705.62</v>
      </c>
      <c r="R394" s="501">
        <v>2687</v>
      </c>
      <c r="S394" s="501">
        <v>2659.28</v>
      </c>
      <c r="T394" s="501">
        <v>2631.85</v>
      </c>
      <c r="U394" s="501">
        <v>2627.77</v>
      </c>
      <c r="V394" s="501">
        <v>2655.39</v>
      </c>
      <c r="W394" s="501">
        <v>2666.09</v>
      </c>
      <c r="X394" s="501">
        <v>2468.59</v>
      </c>
      <c r="Y394" s="501">
        <v>2338.79</v>
      </c>
      <c r="Z394" s="502"/>
    </row>
    <row r="395" spans="1:26">
      <c r="A395" s="500">
        <v>45062</v>
      </c>
      <c r="B395" s="501">
        <v>2096.1799999999998</v>
      </c>
      <c r="C395" s="501">
        <v>2021.08</v>
      </c>
      <c r="D395" s="501">
        <v>1949.48</v>
      </c>
      <c r="E395" s="501">
        <v>1938.88</v>
      </c>
      <c r="F395" s="501">
        <v>1976.39</v>
      </c>
      <c r="G395" s="501">
        <v>2135.84</v>
      </c>
      <c r="H395" s="501">
        <v>2325.27</v>
      </c>
      <c r="I395" s="501">
        <v>2482.6999999999998</v>
      </c>
      <c r="J395" s="501">
        <v>2695.64</v>
      </c>
      <c r="K395" s="501">
        <v>2719.18</v>
      </c>
      <c r="L395" s="501">
        <v>2701.55</v>
      </c>
      <c r="M395" s="501">
        <v>2697.27</v>
      </c>
      <c r="N395" s="501">
        <v>2688.19</v>
      </c>
      <c r="O395" s="501">
        <v>2716.75</v>
      </c>
      <c r="P395" s="501">
        <v>2689.2</v>
      </c>
      <c r="Q395" s="501">
        <v>2603.4299999999998</v>
      </c>
      <c r="R395" s="501">
        <v>2547.34</v>
      </c>
      <c r="S395" s="501">
        <v>2528.19</v>
      </c>
      <c r="T395" s="501">
        <v>2504.89</v>
      </c>
      <c r="U395" s="501">
        <v>2518.5700000000002</v>
      </c>
      <c r="V395" s="501">
        <v>2581.6799999999998</v>
      </c>
      <c r="W395" s="501">
        <v>2638.11</v>
      </c>
      <c r="X395" s="501">
        <v>2435.81</v>
      </c>
      <c r="Y395" s="501">
        <v>2252.38</v>
      </c>
      <c r="Z395" s="502"/>
    </row>
    <row r="396" spans="1:26">
      <c r="A396" s="500">
        <v>45063</v>
      </c>
      <c r="B396" s="501">
        <v>2019.19</v>
      </c>
      <c r="C396" s="501">
        <v>1937.43</v>
      </c>
      <c r="D396" s="501">
        <v>1878.37</v>
      </c>
      <c r="E396" s="501">
        <v>1836.65</v>
      </c>
      <c r="F396" s="501">
        <v>1880.1</v>
      </c>
      <c r="G396" s="501">
        <v>2007.67</v>
      </c>
      <c r="H396" s="501">
        <v>2276.5100000000002</v>
      </c>
      <c r="I396" s="501">
        <v>2451.34</v>
      </c>
      <c r="J396" s="501">
        <v>2643</v>
      </c>
      <c r="K396" s="501">
        <v>2705.74</v>
      </c>
      <c r="L396" s="501">
        <v>2667.49</v>
      </c>
      <c r="M396" s="501">
        <v>2702.77</v>
      </c>
      <c r="N396" s="501">
        <v>2691.59</v>
      </c>
      <c r="O396" s="501">
        <v>2704.26</v>
      </c>
      <c r="P396" s="501">
        <v>2648.95</v>
      </c>
      <c r="Q396" s="501">
        <v>2585.44</v>
      </c>
      <c r="R396" s="501">
        <v>2524.3200000000002</v>
      </c>
      <c r="S396" s="501">
        <v>2498.17</v>
      </c>
      <c r="T396" s="501">
        <v>2484.5700000000002</v>
      </c>
      <c r="U396" s="501">
        <v>2499.83</v>
      </c>
      <c r="V396" s="501">
        <v>2536.64</v>
      </c>
      <c r="W396" s="501">
        <v>2604.17</v>
      </c>
      <c r="X396" s="501">
        <v>2445.77</v>
      </c>
      <c r="Y396" s="501">
        <v>2201.27</v>
      </c>
      <c r="Z396" s="502"/>
    </row>
    <row r="397" spans="1:26">
      <c r="A397" s="500">
        <v>45064</v>
      </c>
      <c r="B397" s="501">
        <v>2067.3200000000002</v>
      </c>
      <c r="C397" s="501">
        <v>1986.33</v>
      </c>
      <c r="D397" s="501">
        <v>1889.71</v>
      </c>
      <c r="E397" s="501">
        <v>1873.26</v>
      </c>
      <c r="F397" s="501">
        <v>1950.22</v>
      </c>
      <c r="G397" s="501">
        <v>2056.4</v>
      </c>
      <c r="H397" s="501">
        <v>2252.33</v>
      </c>
      <c r="I397" s="501">
        <v>2451.25</v>
      </c>
      <c r="J397" s="501">
        <v>2641.44</v>
      </c>
      <c r="K397" s="501">
        <v>2680.94</v>
      </c>
      <c r="L397" s="501">
        <v>2658.6</v>
      </c>
      <c r="M397" s="501">
        <v>2665.79</v>
      </c>
      <c r="N397" s="501">
        <v>2662</v>
      </c>
      <c r="O397" s="501">
        <v>2677.1</v>
      </c>
      <c r="P397" s="501">
        <v>2664.17</v>
      </c>
      <c r="Q397" s="501">
        <v>2649.65</v>
      </c>
      <c r="R397" s="501">
        <v>2654.46</v>
      </c>
      <c r="S397" s="501">
        <v>2652.82</v>
      </c>
      <c r="T397" s="501">
        <v>2641.42</v>
      </c>
      <c r="U397" s="501">
        <v>2664.21</v>
      </c>
      <c r="V397" s="501">
        <v>2669.96</v>
      </c>
      <c r="W397" s="501">
        <v>2677.04</v>
      </c>
      <c r="X397" s="501">
        <v>2482.41</v>
      </c>
      <c r="Y397" s="501">
        <v>2321.13</v>
      </c>
      <c r="Z397" s="502"/>
    </row>
    <row r="398" spans="1:26">
      <c r="A398" s="500">
        <v>45065</v>
      </c>
      <c r="B398" s="501">
        <v>2062.66</v>
      </c>
      <c r="C398" s="501">
        <v>1927.78</v>
      </c>
      <c r="D398" s="501">
        <v>1847.18</v>
      </c>
      <c r="E398" s="501">
        <v>1813.54</v>
      </c>
      <c r="F398" s="501">
        <v>1843.64</v>
      </c>
      <c r="G398" s="501">
        <v>2113.61</v>
      </c>
      <c r="H398" s="501">
        <v>2293.8200000000002</v>
      </c>
      <c r="I398" s="501">
        <v>2552.46</v>
      </c>
      <c r="J398" s="501">
        <v>2740.52</v>
      </c>
      <c r="K398" s="501">
        <v>2790.61</v>
      </c>
      <c r="L398" s="501">
        <v>2778.13</v>
      </c>
      <c r="M398" s="501">
        <v>2793.29</v>
      </c>
      <c r="N398" s="501">
        <v>2793.73</v>
      </c>
      <c r="O398" s="501">
        <v>2796.24</v>
      </c>
      <c r="P398" s="501">
        <v>2782.57</v>
      </c>
      <c r="Q398" s="501">
        <v>2768.29</v>
      </c>
      <c r="R398" s="501">
        <v>2740.1</v>
      </c>
      <c r="S398" s="501">
        <v>2723.07</v>
      </c>
      <c r="T398" s="501">
        <v>2701.29</v>
      </c>
      <c r="U398" s="501">
        <v>2702.94</v>
      </c>
      <c r="V398" s="501">
        <v>2716.01</v>
      </c>
      <c r="W398" s="501">
        <v>2715.01</v>
      </c>
      <c r="X398" s="501">
        <v>2551.1</v>
      </c>
      <c r="Y398" s="501">
        <v>2347.79</v>
      </c>
      <c r="Z398" s="502"/>
    </row>
    <row r="399" spans="1:26">
      <c r="A399" s="500">
        <v>45066</v>
      </c>
      <c r="B399" s="501">
        <v>2343.29</v>
      </c>
      <c r="C399" s="501">
        <v>2228.4299999999998</v>
      </c>
      <c r="D399" s="501">
        <v>2156.48</v>
      </c>
      <c r="E399" s="501">
        <v>2055.85</v>
      </c>
      <c r="F399" s="501">
        <v>2053.14</v>
      </c>
      <c r="G399" s="501">
        <v>2114.4699999999998</v>
      </c>
      <c r="H399" s="501">
        <v>2221.0500000000002</v>
      </c>
      <c r="I399" s="501">
        <v>2400.4499999999998</v>
      </c>
      <c r="J399" s="501">
        <v>2601.56</v>
      </c>
      <c r="K399" s="501">
        <v>2733.53</v>
      </c>
      <c r="L399" s="501">
        <v>2771.51</v>
      </c>
      <c r="M399" s="501">
        <v>2753.99</v>
      </c>
      <c r="N399" s="501">
        <v>2679.99</v>
      </c>
      <c r="O399" s="501">
        <v>2655.15</v>
      </c>
      <c r="P399" s="501">
        <v>2642.79</v>
      </c>
      <c r="Q399" s="501">
        <v>2610.13</v>
      </c>
      <c r="R399" s="501">
        <v>2595.9899999999998</v>
      </c>
      <c r="S399" s="501">
        <v>2567.92</v>
      </c>
      <c r="T399" s="501">
        <v>2572.2199999999998</v>
      </c>
      <c r="U399" s="501">
        <v>2607.56</v>
      </c>
      <c r="V399" s="501">
        <v>2642.97</v>
      </c>
      <c r="W399" s="501">
        <v>2611.08</v>
      </c>
      <c r="X399" s="501">
        <v>2467.9499999999998</v>
      </c>
      <c r="Y399" s="501">
        <v>2305.6999999999998</v>
      </c>
      <c r="Z399" s="502"/>
    </row>
    <row r="400" spans="1:26">
      <c r="A400" s="500">
        <v>45067</v>
      </c>
      <c r="B400" s="501">
        <v>2281.92</v>
      </c>
      <c r="C400" s="501">
        <v>2153.29</v>
      </c>
      <c r="D400" s="501">
        <v>2042.77</v>
      </c>
      <c r="E400" s="501">
        <v>1968.67</v>
      </c>
      <c r="F400" s="501">
        <v>1965.07</v>
      </c>
      <c r="G400" s="501">
        <v>1936.93</v>
      </c>
      <c r="H400" s="501">
        <v>2020.32</v>
      </c>
      <c r="I400" s="501">
        <v>2246.17</v>
      </c>
      <c r="J400" s="501">
        <v>2414.0300000000002</v>
      </c>
      <c r="K400" s="501">
        <v>2530.4</v>
      </c>
      <c r="L400" s="501">
        <v>2565.62</v>
      </c>
      <c r="M400" s="501">
        <v>2573.9899999999998</v>
      </c>
      <c r="N400" s="501">
        <v>2568.75</v>
      </c>
      <c r="O400" s="501">
        <v>2560.9299999999998</v>
      </c>
      <c r="P400" s="501">
        <v>2563.88</v>
      </c>
      <c r="Q400" s="501">
        <v>2565.9699999999998</v>
      </c>
      <c r="R400" s="501">
        <v>2561.15</v>
      </c>
      <c r="S400" s="501">
        <v>2555.02</v>
      </c>
      <c r="T400" s="501">
        <v>2616.81</v>
      </c>
      <c r="U400" s="501">
        <v>2702.43</v>
      </c>
      <c r="V400" s="501">
        <v>2732.54</v>
      </c>
      <c r="W400" s="501">
        <v>2669.19</v>
      </c>
      <c r="X400" s="501">
        <v>2520.4699999999998</v>
      </c>
      <c r="Y400" s="501">
        <v>2349.83</v>
      </c>
      <c r="Z400" s="502"/>
    </row>
    <row r="401" spans="1:26">
      <c r="A401" s="500">
        <v>45068</v>
      </c>
      <c r="B401" s="501">
        <v>2163.06</v>
      </c>
      <c r="C401" s="501">
        <v>2025.13</v>
      </c>
      <c r="D401" s="501">
        <v>1964.26</v>
      </c>
      <c r="E401" s="501">
        <v>1959.86</v>
      </c>
      <c r="F401" s="501">
        <v>1962.65</v>
      </c>
      <c r="G401" s="501">
        <v>2025.85</v>
      </c>
      <c r="H401" s="501">
        <v>2279.5700000000002</v>
      </c>
      <c r="I401" s="501">
        <v>2525.12</v>
      </c>
      <c r="J401" s="501">
        <v>2751.68</v>
      </c>
      <c r="K401" s="501">
        <v>2797.32</v>
      </c>
      <c r="L401" s="501">
        <v>2779.08</v>
      </c>
      <c r="M401" s="501">
        <v>2777.95</v>
      </c>
      <c r="N401" s="501">
        <v>2733.62</v>
      </c>
      <c r="O401" s="501">
        <v>2762.56</v>
      </c>
      <c r="P401" s="501">
        <v>2742.86</v>
      </c>
      <c r="Q401" s="501">
        <v>2714.36</v>
      </c>
      <c r="R401" s="501">
        <v>2694.98</v>
      </c>
      <c r="S401" s="501">
        <v>2702.74</v>
      </c>
      <c r="T401" s="501">
        <v>2685.48</v>
      </c>
      <c r="U401" s="501">
        <v>2659.62</v>
      </c>
      <c r="V401" s="501">
        <v>2689.54</v>
      </c>
      <c r="W401" s="501">
        <v>2716.35</v>
      </c>
      <c r="X401" s="501">
        <v>2457.0300000000002</v>
      </c>
      <c r="Y401" s="501">
        <v>2284.04</v>
      </c>
      <c r="Z401" s="502"/>
    </row>
    <row r="402" spans="1:26">
      <c r="A402" s="500">
        <v>45069</v>
      </c>
      <c r="B402" s="501">
        <v>2180.9499999999998</v>
      </c>
      <c r="C402" s="501">
        <v>2037.99</v>
      </c>
      <c r="D402" s="501">
        <v>1953.41</v>
      </c>
      <c r="E402" s="501">
        <v>1925.94</v>
      </c>
      <c r="F402" s="501">
        <v>2088.19</v>
      </c>
      <c r="G402" s="501">
        <v>2247.5700000000002</v>
      </c>
      <c r="H402" s="501">
        <v>2340.44</v>
      </c>
      <c r="I402" s="501">
        <v>2527.67</v>
      </c>
      <c r="J402" s="501">
        <v>2708.08</v>
      </c>
      <c r="K402" s="501">
        <v>2749.25</v>
      </c>
      <c r="L402" s="501">
        <v>2693.14</v>
      </c>
      <c r="M402" s="501">
        <v>2759.4</v>
      </c>
      <c r="N402" s="501">
        <v>2765.88</v>
      </c>
      <c r="O402" s="501">
        <v>2779.68</v>
      </c>
      <c r="P402" s="501">
        <v>2744.35</v>
      </c>
      <c r="Q402" s="501">
        <v>2722</v>
      </c>
      <c r="R402" s="501">
        <v>2705.11</v>
      </c>
      <c r="S402" s="501">
        <v>2675.66</v>
      </c>
      <c r="T402" s="501">
        <v>2647.06</v>
      </c>
      <c r="U402" s="501">
        <v>2635.04</v>
      </c>
      <c r="V402" s="501">
        <v>2638.05</v>
      </c>
      <c r="W402" s="501">
        <v>2635.06</v>
      </c>
      <c r="X402" s="501">
        <v>2469.2399999999998</v>
      </c>
      <c r="Y402" s="501">
        <v>2237.61</v>
      </c>
      <c r="Z402" s="502"/>
    </row>
    <row r="403" spans="1:26">
      <c r="A403" s="500">
        <v>45070</v>
      </c>
      <c r="B403" s="501">
        <v>2201.33</v>
      </c>
      <c r="C403" s="501">
        <v>2003.7</v>
      </c>
      <c r="D403" s="501">
        <v>1972.49</v>
      </c>
      <c r="E403" s="501">
        <v>1937.66</v>
      </c>
      <c r="F403" s="501">
        <v>1959.55</v>
      </c>
      <c r="G403" s="501">
        <v>2154.44</v>
      </c>
      <c r="H403" s="501">
        <v>2480.4899999999998</v>
      </c>
      <c r="I403" s="501">
        <v>2648.52</v>
      </c>
      <c r="J403" s="501">
        <v>2746.35</v>
      </c>
      <c r="K403" s="501">
        <v>2761.03</v>
      </c>
      <c r="L403" s="501">
        <v>2751.8</v>
      </c>
      <c r="M403" s="501">
        <v>2742.13</v>
      </c>
      <c r="N403" s="501">
        <v>2737.95</v>
      </c>
      <c r="O403" s="501">
        <v>2743.54</v>
      </c>
      <c r="P403" s="501">
        <v>2738.52</v>
      </c>
      <c r="Q403" s="501">
        <v>2745.41</v>
      </c>
      <c r="R403" s="501">
        <v>2731.96</v>
      </c>
      <c r="S403" s="501">
        <v>2724.87</v>
      </c>
      <c r="T403" s="501">
        <v>2722.35</v>
      </c>
      <c r="U403" s="501">
        <v>2724.85</v>
      </c>
      <c r="V403" s="501">
        <v>2727.07</v>
      </c>
      <c r="W403" s="501">
        <v>2717.54</v>
      </c>
      <c r="X403" s="501">
        <v>2614.23</v>
      </c>
      <c r="Y403" s="501">
        <v>2315.86</v>
      </c>
      <c r="Z403" s="502"/>
    </row>
    <row r="404" spans="1:26">
      <c r="A404" s="500">
        <v>45071</v>
      </c>
      <c r="B404" s="501">
        <v>2041.18</v>
      </c>
      <c r="C404" s="501">
        <v>1940.7</v>
      </c>
      <c r="D404" s="501">
        <v>1886.03</v>
      </c>
      <c r="E404" s="501">
        <v>1847.08</v>
      </c>
      <c r="F404" s="501">
        <v>1860.17</v>
      </c>
      <c r="G404" s="501">
        <v>2044.33</v>
      </c>
      <c r="H404" s="501">
        <v>2442.9499999999998</v>
      </c>
      <c r="I404" s="501">
        <v>2602.39</v>
      </c>
      <c r="J404" s="501">
        <v>2771.36</v>
      </c>
      <c r="K404" s="501">
        <v>2769.12</v>
      </c>
      <c r="L404" s="501">
        <v>2763.75</v>
      </c>
      <c r="M404" s="501">
        <v>2759.44</v>
      </c>
      <c r="N404" s="501">
        <v>2761.86</v>
      </c>
      <c r="O404" s="501">
        <v>2760.5</v>
      </c>
      <c r="P404" s="501">
        <v>2778.72</v>
      </c>
      <c r="Q404" s="501">
        <v>2776.4</v>
      </c>
      <c r="R404" s="501">
        <v>2755.23</v>
      </c>
      <c r="S404" s="501">
        <v>2751.76</v>
      </c>
      <c r="T404" s="501">
        <v>2749.24</v>
      </c>
      <c r="U404" s="501">
        <v>2753.43</v>
      </c>
      <c r="V404" s="501">
        <v>2757.05</v>
      </c>
      <c r="W404" s="501">
        <v>2741.89</v>
      </c>
      <c r="X404" s="501">
        <v>2639.17</v>
      </c>
      <c r="Y404" s="501">
        <v>2250.88</v>
      </c>
      <c r="Z404" s="502"/>
    </row>
    <row r="405" spans="1:26">
      <c r="A405" s="500">
        <v>45072</v>
      </c>
      <c r="B405" s="501">
        <v>2135.52</v>
      </c>
      <c r="C405" s="501">
        <v>2005.34</v>
      </c>
      <c r="D405" s="501">
        <v>1948.33</v>
      </c>
      <c r="E405" s="501">
        <v>1912.08</v>
      </c>
      <c r="F405" s="501">
        <v>1948.19</v>
      </c>
      <c r="G405" s="501">
        <v>2069.73</v>
      </c>
      <c r="H405" s="501">
        <v>2485.17</v>
      </c>
      <c r="I405" s="501">
        <v>2653.36</v>
      </c>
      <c r="J405" s="501">
        <v>2854.47</v>
      </c>
      <c r="K405" s="501">
        <v>2859.12</v>
      </c>
      <c r="L405" s="501">
        <v>2857</v>
      </c>
      <c r="M405" s="501">
        <v>2853.14</v>
      </c>
      <c r="N405" s="501">
        <v>2855.49</v>
      </c>
      <c r="O405" s="501">
        <v>2855.67</v>
      </c>
      <c r="P405" s="501">
        <v>2869.12</v>
      </c>
      <c r="Q405" s="501">
        <v>2863.7</v>
      </c>
      <c r="R405" s="501">
        <v>2840.5</v>
      </c>
      <c r="S405" s="501">
        <v>2835.45</v>
      </c>
      <c r="T405" s="501">
        <v>2831.32</v>
      </c>
      <c r="U405" s="501">
        <v>2828.85</v>
      </c>
      <c r="V405" s="501">
        <v>2835.95</v>
      </c>
      <c r="W405" s="501">
        <v>2823.78</v>
      </c>
      <c r="X405" s="501">
        <v>2761.17</v>
      </c>
      <c r="Y405" s="501">
        <v>2490.7600000000002</v>
      </c>
      <c r="Z405" s="502"/>
    </row>
    <row r="406" spans="1:26">
      <c r="A406" s="500">
        <v>45073</v>
      </c>
      <c r="B406" s="501">
        <v>2428.71</v>
      </c>
      <c r="C406" s="501">
        <v>2193.9899999999998</v>
      </c>
      <c r="D406" s="501">
        <v>2057.39</v>
      </c>
      <c r="E406" s="501">
        <v>2018.43</v>
      </c>
      <c r="F406" s="501">
        <v>2002.28</v>
      </c>
      <c r="G406" s="501">
        <v>1989.55</v>
      </c>
      <c r="H406" s="501">
        <v>2322.11</v>
      </c>
      <c r="I406" s="501">
        <v>2484.39</v>
      </c>
      <c r="J406" s="501">
        <v>2731.15</v>
      </c>
      <c r="K406" s="501">
        <v>2783.03</v>
      </c>
      <c r="L406" s="501">
        <v>2782.39</v>
      </c>
      <c r="M406" s="501">
        <v>2781.81</v>
      </c>
      <c r="N406" s="501">
        <v>2780.38</v>
      </c>
      <c r="O406" s="501">
        <v>2775.37</v>
      </c>
      <c r="P406" s="501">
        <v>2767.82</v>
      </c>
      <c r="Q406" s="501">
        <v>2764.98</v>
      </c>
      <c r="R406" s="501">
        <v>2766.04</v>
      </c>
      <c r="S406" s="501">
        <v>2741.66</v>
      </c>
      <c r="T406" s="501">
        <v>2738.62</v>
      </c>
      <c r="U406" s="501">
        <v>2743.53</v>
      </c>
      <c r="V406" s="501">
        <v>2775.35</v>
      </c>
      <c r="W406" s="501">
        <v>2766.67</v>
      </c>
      <c r="X406" s="501">
        <v>2703.84</v>
      </c>
      <c r="Y406" s="501">
        <v>2391</v>
      </c>
      <c r="Z406" s="502"/>
    </row>
    <row r="407" spans="1:26">
      <c r="A407" s="500">
        <v>45074</v>
      </c>
      <c r="B407" s="501">
        <v>2303.0500000000002</v>
      </c>
      <c r="C407" s="501">
        <v>2142.12</v>
      </c>
      <c r="D407" s="501">
        <v>2027.26</v>
      </c>
      <c r="E407" s="501">
        <v>1999.52</v>
      </c>
      <c r="F407" s="501">
        <v>1977.72</v>
      </c>
      <c r="G407" s="501">
        <v>1967.09</v>
      </c>
      <c r="H407" s="501">
        <v>2181.5700000000002</v>
      </c>
      <c r="I407" s="501">
        <v>2337.62</v>
      </c>
      <c r="J407" s="501">
        <v>2587.2199999999998</v>
      </c>
      <c r="K407" s="501">
        <v>2725.34</v>
      </c>
      <c r="L407" s="501">
        <v>2730.59</v>
      </c>
      <c r="M407" s="501">
        <v>2729</v>
      </c>
      <c r="N407" s="501">
        <v>2728.72</v>
      </c>
      <c r="O407" s="501">
        <v>2728.83</v>
      </c>
      <c r="P407" s="501">
        <v>2728.54</v>
      </c>
      <c r="Q407" s="501">
        <v>2729.57</v>
      </c>
      <c r="R407" s="501">
        <v>2736.01</v>
      </c>
      <c r="S407" s="501">
        <v>2738.58</v>
      </c>
      <c r="T407" s="501">
        <v>2736.67</v>
      </c>
      <c r="U407" s="501">
        <v>2733.55</v>
      </c>
      <c r="V407" s="501">
        <v>2745.49</v>
      </c>
      <c r="W407" s="501">
        <v>2736.01</v>
      </c>
      <c r="X407" s="501">
        <v>2658.22</v>
      </c>
      <c r="Y407" s="501">
        <v>2373.46</v>
      </c>
      <c r="Z407" s="502"/>
    </row>
    <row r="408" spans="1:26">
      <c r="A408" s="500">
        <v>45075</v>
      </c>
      <c r="B408" s="501">
        <v>2228.58</v>
      </c>
      <c r="C408" s="501">
        <v>2073.2800000000002</v>
      </c>
      <c r="D408" s="501">
        <v>1988.31</v>
      </c>
      <c r="E408" s="501">
        <v>1952.62</v>
      </c>
      <c r="F408" s="501">
        <v>1974.52</v>
      </c>
      <c r="G408" s="501">
        <v>2058.9299999999998</v>
      </c>
      <c r="H408" s="501">
        <v>2493.09</v>
      </c>
      <c r="I408" s="501">
        <v>2719.2</v>
      </c>
      <c r="J408" s="501">
        <v>2806.57</v>
      </c>
      <c r="K408" s="501">
        <v>2808.17</v>
      </c>
      <c r="L408" s="501">
        <v>2805.09</v>
      </c>
      <c r="M408" s="501">
        <v>2803.96</v>
      </c>
      <c r="N408" s="501">
        <v>2805.83</v>
      </c>
      <c r="O408" s="501">
        <v>2803.82</v>
      </c>
      <c r="P408" s="501">
        <v>2801.32</v>
      </c>
      <c r="Q408" s="501">
        <v>2795.48</v>
      </c>
      <c r="R408" s="501">
        <v>2790.71</v>
      </c>
      <c r="S408" s="501">
        <v>2789.37</v>
      </c>
      <c r="T408" s="501">
        <v>2784.7</v>
      </c>
      <c r="U408" s="501">
        <v>2785.76</v>
      </c>
      <c r="V408" s="501">
        <v>2786.32</v>
      </c>
      <c r="W408" s="501">
        <v>2777.68</v>
      </c>
      <c r="X408" s="501">
        <v>2731.42</v>
      </c>
      <c r="Y408" s="501">
        <v>2344.9499999999998</v>
      </c>
      <c r="Z408" s="502"/>
    </row>
    <row r="409" spans="1:26">
      <c r="A409" s="500">
        <v>45076</v>
      </c>
      <c r="B409" s="501">
        <v>2154.5</v>
      </c>
      <c r="C409" s="501">
        <v>2018.86</v>
      </c>
      <c r="D409" s="501">
        <v>1993.74</v>
      </c>
      <c r="E409" s="501">
        <v>1970.37</v>
      </c>
      <c r="F409" s="501">
        <v>1995.54</v>
      </c>
      <c r="G409" s="501">
        <v>2160.09</v>
      </c>
      <c r="H409" s="501">
        <v>2495.0700000000002</v>
      </c>
      <c r="I409" s="501">
        <v>2733.98</v>
      </c>
      <c r="J409" s="501">
        <v>2848.33</v>
      </c>
      <c r="K409" s="501">
        <v>2850.24</v>
      </c>
      <c r="L409" s="501">
        <v>2848.52</v>
      </c>
      <c r="M409" s="501">
        <v>2844.73</v>
      </c>
      <c r="N409" s="501">
        <v>2848.08</v>
      </c>
      <c r="O409" s="501">
        <v>2847.42</v>
      </c>
      <c r="P409" s="501">
        <v>2845.06</v>
      </c>
      <c r="Q409" s="501">
        <v>2840.51</v>
      </c>
      <c r="R409" s="501">
        <v>2835.58</v>
      </c>
      <c r="S409" s="501">
        <v>2831.84</v>
      </c>
      <c r="T409" s="501">
        <v>2825.68</v>
      </c>
      <c r="U409" s="501">
        <v>2824.97</v>
      </c>
      <c r="V409" s="501">
        <v>2826.81</v>
      </c>
      <c r="W409" s="501">
        <v>2804.74</v>
      </c>
      <c r="X409" s="501">
        <v>2713.34</v>
      </c>
      <c r="Y409" s="501">
        <v>2372.6799999999998</v>
      </c>
      <c r="Z409" s="502"/>
    </row>
    <row r="410" spans="1:26">
      <c r="A410" s="500">
        <v>45077</v>
      </c>
      <c r="B410" s="501">
        <v>2106.5300000000002</v>
      </c>
      <c r="C410" s="501">
        <v>1980.97</v>
      </c>
      <c r="D410" s="501">
        <v>1920.47</v>
      </c>
      <c r="E410" s="501">
        <v>1886.79</v>
      </c>
      <c r="F410" s="501">
        <v>1882.79</v>
      </c>
      <c r="G410" s="501">
        <v>2047.78</v>
      </c>
      <c r="H410" s="501">
        <v>2448.94</v>
      </c>
      <c r="I410" s="501">
        <v>2686.7</v>
      </c>
      <c r="J410" s="501">
        <v>2872.58</v>
      </c>
      <c r="K410" s="501">
        <v>2872.75</v>
      </c>
      <c r="L410" s="501">
        <v>2870.3</v>
      </c>
      <c r="M410" s="501">
        <v>2866.51</v>
      </c>
      <c r="N410" s="501">
        <v>2869.89</v>
      </c>
      <c r="O410" s="501">
        <v>2866.56</v>
      </c>
      <c r="P410" s="501">
        <v>2857.41</v>
      </c>
      <c r="Q410" s="501">
        <v>2850.04</v>
      </c>
      <c r="R410" s="501">
        <v>2846.81</v>
      </c>
      <c r="S410" s="501">
        <v>2844.74</v>
      </c>
      <c r="T410" s="501">
        <v>2842.67</v>
      </c>
      <c r="U410" s="501">
        <v>2844.85</v>
      </c>
      <c r="V410" s="501">
        <v>2848.6</v>
      </c>
      <c r="W410" s="501">
        <v>2829.42</v>
      </c>
      <c r="X410" s="501">
        <v>2731.87</v>
      </c>
      <c r="Y410" s="501">
        <v>2429</v>
      </c>
      <c r="Z410" s="502"/>
    </row>
    <row r="412" spans="1:26" ht="16">
      <c r="A412" s="495" t="s">
        <v>711</v>
      </c>
      <c r="B412" s="866" t="s">
        <v>739</v>
      </c>
      <c r="C412" s="866"/>
      <c r="D412" s="866"/>
      <c r="E412" s="866"/>
      <c r="F412" s="866"/>
      <c r="G412" s="866"/>
      <c r="H412" s="866"/>
      <c r="I412" s="866"/>
      <c r="J412" s="866"/>
      <c r="K412" s="866"/>
      <c r="L412" s="866"/>
      <c r="M412" s="866"/>
      <c r="N412" s="866"/>
      <c r="O412" s="866"/>
      <c r="P412" s="866"/>
      <c r="Q412" s="866"/>
      <c r="R412" s="866"/>
      <c r="S412" s="866"/>
      <c r="T412" s="866"/>
      <c r="U412" s="866"/>
      <c r="V412" s="866"/>
      <c r="W412" s="866"/>
      <c r="X412" s="866"/>
      <c r="Y412" s="866"/>
      <c r="Z412" s="496"/>
    </row>
    <row r="413" spans="1:26" ht="17">
      <c r="A413" s="497" t="s">
        <v>280</v>
      </c>
      <c r="B413" s="498" t="s">
        <v>713</v>
      </c>
      <c r="C413" s="498" t="s">
        <v>714</v>
      </c>
      <c r="D413" s="498" t="s">
        <v>715</v>
      </c>
      <c r="E413" s="498" t="s">
        <v>716</v>
      </c>
      <c r="F413" s="498" t="s">
        <v>717</v>
      </c>
      <c r="G413" s="498" t="s">
        <v>718</v>
      </c>
      <c r="H413" s="498" t="s">
        <v>719</v>
      </c>
      <c r="I413" s="498" t="s">
        <v>720</v>
      </c>
      <c r="J413" s="498" t="s">
        <v>721</v>
      </c>
      <c r="K413" s="498" t="s">
        <v>722</v>
      </c>
      <c r="L413" s="498" t="s">
        <v>723</v>
      </c>
      <c r="M413" s="498" t="s">
        <v>724</v>
      </c>
      <c r="N413" s="498" t="s">
        <v>725</v>
      </c>
      <c r="O413" s="498" t="s">
        <v>726</v>
      </c>
      <c r="P413" s="498" t="s">
        <v>727</v>
      </c>
      <c r="Q413" s="498" t="s">
        <v>728</v>
      </c>
      <c r="R413" s="498" t="s">
        <v>729</v>
      </c>
      <c r="S413" s="498" t="s">
        <v>730</v>
      </c>
      <c r="T413" s="498" t="s">
        <v>731</v>
      </c>
      <c r="U413" s="498" t="s">
        <v>732</v>
      </c>
      <c r="V413" s="498" t="s">
        <v>733</v>
      </c>
      <c r="W413" s="498" t="s">
        <v>734</v>
      </c>
      <c r="X413" s="498" t="s">
        <v>735</v>
      </c>
      <c r="Y413" s="498" t="s">
        <v>736</v>
      </c>
      <c r="Z413" s="499"/>
    </row>
    <row r="414" spans="1:26">
      <c r="A414" s="500">
        <v>45047</v>
      </c>
      <c r="B414" s="501">
        <v>2921.31</v>
      </c>
      <c r="C414" s="501">
        <v>2820.05</v>
      </c>
      <c r="D414" s="501">
        <v>2754.92</v>
      </c>
      <c r="E414" s="501">
        <v>2698.74</v>
      </c>
      <c r="F414" s="501">
        <v>2683.67</v>
      </c>
      <c r="G414" s="501">
        <v>2707.85</v>
      </c>
      <c r="H414" s="501">
        <v>2762.42</v>
      </c>
      <c r="I414" s="501">
        <v>2896.21</v>
      </c>
      <c r="J414" s="501">
        <v>3117.75</v>
      </c>
      <c r="K414" s="501">
        <v>3254.86</v>
      </c>
      <c r="L414" s="501">
        <v>3261.1</v>
      </c>
      <c r="M414" s="501">
        <v>3247.31</v>
      </c>
      <c r="N414" s="501">
        <v>3230.66</v>
      </c>
      <c r="O414" s="501">
        <v>3221.16</v>
      </c>
      <c r="P414" s="501">
        <v>3199.25</v>
      </c>
      <c r="Q414" s="501">
        <v>3179.85</v>
      </c>
      <c r="R414" s="501">
        <v>3177.51</v>
      </c>
      <c r="S414" s="501">
        <v>3191.23</v>
      </c>
      <c r="T414" s="501">
        <v>3256.06</v>
      </c>
      <c r="U414" s="501">
        <v>3317.24</v>
      </c>
      <c r="V414" s="501">
        <v>3347.83</v>
      </c>
      <c r="W414" s="501">
        <v>3288.75</v>
      </c>
      <c r="X414" s="501">
        <v>3192.53</v>
      </c>
      <c r="Y414" s="501">
        <v>2993.69</v>
      </c>
      <c r="Z414" s="502"/>
    </row>
    <row r="415" spans="1:26">
      <c r="A415" s="500">
        <v>45048</v>
      </c>
      <c r="B415" s="501">
        <v>2755.92</v>
      </c>
      <c r="C415" s="501">
        <v>2610.66</v>
      </c>
      <c r="D415" s="501">
        <v>2537.85</v>
      </c>
      <c r="E415" s="501">
        <v>2543.25</v>
      </c>
      <c r="F415" s="501">
        <v>2582.08</v>
      </c>
      <c r="G415" s="501">
        <v>2712.21</v>
      </c>
      <c r="H415" s="501">
        <v>2915.07</v>
      </c>
      <c r="I415" s="501">
        <v>3144.22</v>
      </c>
      <c r="J415" s="501">
        <v>3275.8</v>
      </c>
      <c r="K415" s="501">
        <v>3279.49</v>
      </c>
      <c r="L415" s="501">
        <v>3255.83</v>
      </c>
      <c r="M415" s="501">
        <v>3272.68</v>
      </c>
      <c r="N415" s="501">
        <v>3289.66</v>
      </c>
      <c r="O415" s="501">
        <v>3291.66</v>
      </c>
      <c r="P415" s="501">
        <v>3260.94</v>
      </c>
      <c r="Q415" s="501">
        <v>3223.8</v>
      </c>
      <c r="R415" s="501">
        <v>3202.78</v>
      </c>
      <c r="S415" s="501">
        <v>3194.24</v>
      </c>
      <c r="T415" s="501">
        <v>3191.36</v>
      </c>
      <c r="U415" s="501">
        <v>3197.67</v>
      </c>
      <c r="V415" s="501">
        <v>3213.4</v>
      </c>
      <c r="W415" s="501">
        <v>3189.62</v>
      </c>
      <c r="X415" s="501">
        <v>3020.06</v>
      </c>
      <c r="Y415" s="501">
        <v>2768.78</v>
      </c>
      <c r="Z415" s="502"/>
    </row>
    <row r="416" spans="1:26">
      <c r="A416" s="500">
        <v>45049</v>
      </c>
      <c r="B416" s="501">
        <v>2635</v>
      </c>
      <c r="C416" s="501">
        <v>2517.52</v>
      </c>
      <c r="D416" s="501">
        <v>2505.5300000000002</v>
      </c>
      <c r="E416" s="501">
        <v>2514.77</v>
      </c>
      <c r="F416" s="501">
        <v>2548.42</v>
      </c>
      <c r="G416" s="501">
        <v>2668.5</v>
      </c>
      <c r="H416" s="501">
        <v>2853.27</v>
      </c>
      <c r="I416" s="501">
        <v>3052.45</v>
      </c>
      <c r="J416" s="501">
        <v>3205.49</v>
      </c>
      <c r="K416" s="501">
        <v>3254.7</v>
      </c>
      <c r="L416" s="501">
        <v>3251.66</v>
      </c>
      <c r="M416" s="501">
        <v>3237.36</v>
      </c>
      <c r="N416" s="501">
        <v>3241.71</v>
      </c>
      <c r="O416" s="501">
        <v>3248.04</v>
      </c>
      <c r="P416" s="501">
        <v>3234.95</v>
      </c>
      <c r="Q416" s="501">
        <v>3232.57</v>
      </c>
      <c r="R416" s="501">
        <v>3243.42</v>
      </c>
      <c r="S416" s="501">
        <v>3236.01</v>
      </c>
      <c r="T416" s="501">
        <v>3216.27</v>
      </c>
      <c r="U416" s="501">
        <v>3233.69</v>
      </c>
      <c r="V416" s="501">
        <v>3230.43</v>
      </c>
      <c r="W416" s="501">
        <v>3196.52</v>
      </c>
      <c r="X416" s="501">
        <v>2990.85</v>
      </c>
      <c r="Y416" s="501">
        <v>2795.51</v>
      </c>
      <c r="Z416" s="502"/>
    </row>
    <row r="417" spans="1:26">
      <c r="A417" s="500">
        <v>45050</v>
      </c>
      <c r="B417" s="501">
        <v>2593.3200000000002</v>
      </c>
      <c r="C417" s="501">
        <v>2504.17</v>
      </c>
      <c r="D417" s="501">
        <v>2449.46</v>
      </c>
      <c r="E417" s="501">
        <v>2443.19</v>
      </c>
      <c r="F417" s="501">
        <v>2503.1999999999998</v>
      </c>
      <c r="G417" s="501">
        <v>2585.31</v>
      </c>
      <c r="H417" s="501">
        <v>2789.39</v>
      </c>
      <c r="I417" s="501">
        <v>3001.56</v>
      </c>
      <c r="J417" s="501">
        <v>3071.08</v>
      </c>
      <c r="K417" s="501">
        <v>3146.03</v>
      </c>
      <c r="L417" s="501">
        <v>3180.51</v>
      </c>
      <c r="M417" s="501">
        <v>3178.69</v>
      </c>
      <c r="N417" s="501">
        <v>3182.64</v>
      </c>
      <c r="O417" s="501">
        <v>3183.91</v>
      </c>
      <c r="P417" s="501">
        <v>3170.88</v>
      </c>
      <c r="Q417" s="501">
        <v>3146.78</v>
      </c>
      <c r="R417" s="501">
        <v>3124.15</v>
      </c>
      <c r="S417" s="501">
        <v>3095.8</v>
      </c>
      <c r="T417" s="501">
        <v>3060.12</v>
      </c>
      <c r="U417" s="501">
        <v>3126.79</v>
      </c>
      <c r="V417" s="501">
        <v>3171.68</v>
      </c>
      <c r="W417" s="501">
        <v>3168.25</v>
      </c>
      <c r="X417" s="501">
        <v>3018.07</v>
      </c>
      <c r="Y417" s="501">
        <v>2818.3</v>
      </c>
      <c r="Z417" s="502"/>
    </row>
    <row r="418" spans="1:26">
      <c r="A418" s="500">
        <v>45051</v>
      </c>
      <c r="B418" s="501">
        <v>2773.99</v>
      </c>
      <c r="C418" s="501">
        <v>2620.83</v>
      </c>
      <c r="D418" s="501">
        <v>2561.34</v>
      </c>
      <c r="E418" s="501">
        <v>2547.85</v>
      </c>
      <c r="F418" s="501">
        <v>2608.7399999999998</v>
      </c>
      <c r="G418" s="501">
        <v>2746.24</v>
      </c>
      <c r="H418" s="501">
        <v>2869.35</v>
      </c>
      <c r="I418" s="501">
        <v>3057.55</v>
      </c>
      <c r="J418" s="501">
        <v>3200.11</v>
      </c>
      <c r="K418" s="501">
        <v>3240.39</v>
      </c>
      <c r="L418" s="501">
        <v>3268.51</v>
      </c>
      <c r="M418" s="501">
        <v>3295.63</v>
      </c>
      <c r="N418" s="501">
        <v>3283.19</v>
      </c>
      <c r="O418" s="501">
        <v>3299.1</v>
      </c>
      <c r="P418" s="501">
        <v>3280.14</v>
      </c>
      <c r="Q418" s="501">
        <v>3252.95</v>
      </c>
      <c r="R418" s="501">
        <v>3234.32</v>
      </c>
      <c r="S418" s="501">
        <v>3218.48</v>
      </c>
      <c r="T418" s="501">
        <v>3204.57</v>
      </c>
      <c r="U418" s="501">
        <v>3200.83</v>
      </c>
      <c r="V418" s="501">
        <v>3208.27</v>
      </c>
      <c r="W418" s="501">
        <v>3204.61</v>
      </c>
      <c r="X418" s="501">
        <v>3090.03</v>
      </c>
      <c r="Y418" s="501">
        <v>2916.43</v>
      </c>
      <c r="Z418" s="502"/>
    </row>
    <row r="419" spans="1:26">
      <c r="A419" s="500">
        <v>45052</v>
      </c>
      <c r="B419" s="501">
        <v>2869.14</v>
      </c>
      <c r="C419" s="501">
        <v>2814.17</v>
      </c>
      <c r="D419" s="501">
        <v>2726.21</v>
      </c>
      <c r="E419" s="501">
        <v>2622.18</v>
      </c>
      <c r="F419" s="501">
        <v>2628.05</v>
      </c>
      <c r="G419" s="501">
        <v>2732.51</v>
      </c>
      <c r="H419" s="501">
        <v>2796.41</v>
      </c>
      <c r="I419" s="501">
        <v>2892.19</v>
      </c>
      <c r="J419" s="501">
        <v>3148.98</v>
      </c>
      <c r="K419" s="501">
        <v>3247.12</v>
      </c>
      <c r="L419" s="501">
        <v>3288.08</v>
      </c>
      <c r="M419" s="501">
        <v>3263.96</v>
      </c>
      <c r="N419" s="501">
        <v>3230.94</v>
      </c>
      <c r="O419" s="501">
        <v>3224.2</v>
      </c>
      <c r="P419" s="501">
        <v>3215.19</v>
      </c>
      <c r="Q419" s="501">
        <v>3212.67</v>
      </c>
      <c r="R419" s="501">
        <v>3199.49</v>
      </c>
      <c r="S419" s="501">
        <v>3179.08</v>
      </c>
      <c r="T419" s="501">
        <v>3177.92</v>
      </c>
      <c r="U419" s="501">
        <v>3228.69</v>
      </c>
      <c r="V419" s="501">
        <v>3251.04</v>
      </c>
      <c r="W419" s="501">
        <v>3207.71</v>
      </c>
      <c r="X419" s="501">
        <v>3148.24</v>
      </c>
      <c r="Y419" s="501">
        <v>2941.29</v>
      </c>
      <c r="Z419" s="502"/>
    </row>
    <row r="420" spans="1:26">
      <c r="A420" s="500">
        <v>45053</v>
      </c>
      <c r="B420" s="501">
        <v>2837.76</v>
      </c>
      <c r="C420" s="501">
        <v>2717.48</v>
      </c>
      <c r="D420" s="501">
        <v>2612.3000000000002</v>
      </c>
      <c r="E420" s="501">
        <v>2567.1999999999998</v>
      </c>
      <c r="F420" s="501">
        <v>2555.09</v>
      </c>
      <c r="G420" s="501">
        <v>2531</v>
      </c>
      <c r="H420" s="501">
        <v>2656.97</v>
      </c>
      <c r="I420" s="501">
        <v>2746.18</v>
      </c>
      <c r="J420" s="501">
        <v>2879.7</v>
      </c>
      <c r="K420" s="501">
        <v>2986.92</v>
      </c>
      <c r="L420" s="501">
        <v>3004.51</v>
      </c>
      <c r="M420" s="501">
        <v>3005.7</v>
      </c>
      <c r="N420" s="501">
        <v>3000.53</v>
      </c>
      <c r="O420" s="501">
        <v>2992.68</v>
      </c>
      <c r="P420" s="501">
        <v>2986.37</v>
      </c>
      <c r="Q420" s="501">
        <v>2986.31</v>
      </c>
      <c r="R420" s="501">
        <v>2988.69</v>
      </c>
      <c r="S420" s="501">
        <v>2990.9</v>
      </c>
      <c r="T420" s="501">
        <v>3019.51</v>
      </c>
      <c r="U420" s="501">
        <v>3079.07</v>
      </c>
      <c r="V420" s="501">
        <v>3164.41</v>
      </c>
      <c r="W420" s="501">
        <v>3088.02</v>
      </c>
      <c r="X420" s="501">
        <v>3029.92</v>
      </c>
      <c r="Y420" s="501">
        <v>2847.69</v>
      </c>
      <c r="Z420" s="502"/>
    </row>
    <row r="421" spans="1:26">
      <c r="A421" s="500">
        <v>45054</v>
      </c>
      <c r="B421" s="501">
        <v>2831.4</v>
      </c>
      <c r="C421" s="501">
        <v>2745.69</v>
      </c>
      <c r="D421" s="501">
        <v>2642.75</v>
      </c>
      <c r="E421" s="501">
        <v>2487.84</v>
      </c>
      <c r="F421" s="501">
        <v>2477.98</v>
      </c>
      <c r="G421" s="501">
        <v>2498.6999999999998</v>
      </c>
      <c r="H421" s="501">
        <v>2699.09</v>
      </c>
      <c r="I421" s="501">
        <v>2809.33</v>
      </c>
      <c r="J421" s="501">
        <v>2987.34</v>
      </c>
      <c r="K421" s="501">
        <v>3141.39</v>
      </c>
      <c r="L421" s="501">
        <v>3165.59</v>
      </c>
      <c r="M421" s="501">
        <v>3165.19</v>
      </c>
      <c r="N421" s="501">
        <v>3154.91</v>
      </c>
      <c r="O421" s="501">
        <v>3150.25</v>
      </c>
      <c r="P421" s="501">
        <v>3146.73</v>
      </c>
      <c r="Q421" s="501">
        <v>3142.6</v>
      </c>
      <c r="R421" s="501">
        <v>3133.35</v>
      </c>
      <c r="S421" s="501">
        <v>3100.43</v>
      </c>
      <c r="T421" s="501">
        <v>3118.35</v>
      </c>
      <c r="U421" s="501">
        <v>3159.95</v>
      </c>
      <c r="V421" s="501">
        <v>3174.44</v>
      </c>
      <c r="W421" s="501">
        <v>3120.8</v>
      </c>
      <c r="X421" s="501">
        <v>3068.42</v>
      </c>
      <c r="Y421" s="501">
        <v>2914.82</v>
      </c>
      <c r="Z421" s="502"/>
    </row>
    <row r="422" spans="1:26">
      <c r="A422" s="500">
        <v>45055</v>
      </c>
      <c r="B422" s="501">
        <v>2867.24</v>
      </c>
      <c r="C422" s="501">
        <v>2779.6</v>
      </c>
      <c r="D422" s="501">
        <v>2730.38</v>
      </c>
      <c r="E422" s="501">
        <v>2695.63</v>
      </c>
      <c r="F422" s="501">
        <v>2671.99</v>
      </c>
      <c r="G422" s="501">
        <v>2675.53</v>
      </c>
      <c r="H422" s="501">
        <v>2718.77</v>
      </c>
      <c r="I422" s="501">
        <v>2811.83</v>
      </c>
      <c r="J422" s="501">
        <v>3026.54</v>
      </c>
      <c r="K422" s="501">
        <v>3108.88</v>
      </c>
      <c r="L422" s="501">
        <v>3155</v>
      </c>
      <c r="M422" s="501">
        <v>3135.54</v>
      </c>
      <c r="N422" s="501">
        <v>3128.78</v>
      </c>
      <c r="O422" s="501">
        <v>3125.44</v>
      </c>
      <c r="P422" s="501">
        <v>3121.21</v>
      </c>
      <c r="Q422" s="501">
        <v>3112.68</v>
      </c>
      <c r="R422" s="501">
        <v>3085.05</v>
      </c>
      <c r="S422" s="501">
        <v>3084.55</v>
      </c>
      <c r="T422" s="501">
        <v>3100.65</v>
      </c>
      <c r="U422" s="501">
        <v>3143.78</v>
      </c>
      <c r="V422" s="501">
        <v>3200.39</v>
      </c>
      <c r="W422" s="501">
        <v>3184.34</v>
      </c>
      <c r="X422" s="501">
        <v>3142.14</v>
      </c>
      <c r="Y422" s="501">
        <v>2967.61</v>
      </c>
      <c r="Z422" s="502"/>
    </row>
    <row r="423" spans="1:26">
      <c r="A423" s="500">
        <v>45056</v>
      </c>
      <c r="B423" s="501">
        <v>2944.1</v>
      </c>
      <c r="C423" s="501">
        <v>2796.21</v>
      </c>
      <c r="D423" s="501">
        <v>2732.21</v>
      </c>
      <c r="E423" s="501">
        <v>2697.78</v>
      </c>
      <c r="F423" s="501">
        <v>2730.79</v>
      </c>
      <c r="G423" s="501">
        <v>2809.4</v>
      </c>
      <c r="H423" s="501">
        <v>2994.54</v>
      </c>
      <c r="I423" s="501">
        <v>3228.63</v>
      </c>
      <c r="J423" s="501">
        <v>3279.34</v>
      </c>
      <c r="K423" s="501">
        <v>3282.64</v>
      </c>
      <c r="L423" s="501">
        <v>3273.69</v>
      </c>
      <c r="M423" s="501">
        <v>3307.79</v>
      </c>
      <c r="N423" s="501">
        <v>3314.93</v>
      </c>
      <c r="O423" s="501">
        <v>3321.79</v>
      </c>
      <c r="P423" s="501">
        <v>3306.44</v>
      </c>
      <c r="Q423" s="501">
        <v>3295.94</v>
      </c>
      <c r="R423" s="501">
        <v>3275.2</v>
      </c>
      <c r="S423" s="501">
        <v>3255.13</v>
      </c>
      <c r="T423" s="501">
        <v>3248.38</v>
      </c>
      <c r="U423" s="501">
        <v>3234.64</v>
      </c>
      <c r="V423" s="501">
        <v>3245.91</v>
      </c>
      <c r="W423" s="501">
        <v>3250.75</v>
      </c>
      <c r="X423" s="501">
        <v>3069.6</v>
      </c>
      <c r="Y423" s="501">
        <v>2963.8</v>
      </c>
      <c r="Z423" s="502"/>
    </row>
    <row r="424" spans="1:26">
      <c r="A424" s="500">
        <v>45057</v>
      </c>
      <c r="B424" s="501">
        <v>2649.1</v>
      </c>
      <c r="C424" s="501">
        <v>2531.27</v>
      </c>
      <c r="D424" s="501">
        <v>2494.9299999999998</v>
      </c>
      <c r="E424" s="501">
        <v>2462.0700000000002</v>
      </c>
      <c r="F424" s="501">
        <v>2492.8200000000002</v>
      </c>
      <c r="G424" s="501">
        <v>2595.0100000000002</v>
      </c>
      <c r="H424" s="501">
        <v>3154.1</v>
      </c>
      <c r="I424" s="501">
        <v>3169.25</v>
      </c>
      <c r="J424" s="501">
        <v>3261.89</v>
      </c>
      <c r="K424" s="501">
        <v>3264.82</v>
      </c>
      <c r="L424" s="501">
        <v>3219.17</v>
      </c>
      <c r="M424" s="501">
        <v>3264.29</v>
      </c>
      <c r="N424" s="501">
        <v>3273.33</v>
      </c>
      <c r="O424" s="501">
        <v>3261.2</v>
      </c>
      <c r="P424" s="501">
        <v>3234.84</v>
      </c>
      <c r="Q424" s="501">
        <v>3160.95</v>
      </c>
      <c r="R424" s="501">
        <v>3109.05</v>
      </c>
      <c r="S424" s="501">
        <v>3092.84</v>
      </c>
      <c r="T424" s="501">
        <v>3075.96</v>
      </c>
      <c r="U424" s="501">
        <v>3087.81</v>
      </c>
      <c r="V424" s="501">
        <v>3117.4</v>
      </c>
      <c r="W424" s="501">
        <v>3117.85</v>
      </c>
      <c r="X424" s="501">
        <v>2987.17</v>
      </c>
      <c r="Y424" s="501">
        <v>2744.19</v>
      </c>
      <c r="Z424" s="502"/>
    </row>
    <row r="425" spans="1:26">
      <c r="A425" s="500">
        <v>45058</v>
      </c>
      <c r="B425" s="501">
        <v>2632.95</v>
      </c>
      <c r="C425" s="501">
        <v>2517</v>
      </c>
      <c r="D425" s="501">
        <v>2461.9899999999998</v>
      </c>
      <c r="E425" s="501">
        <v>2424.36</v>
      </c>
      <c r="F425" s="501">
        <v>2512.7800000000002</v>
      </c>
      <c r="G425" s="501">
        <v>2889.86</v>
      </c>
      <c r="H425" s="501">
        <v>3325.24</v>
      </c>
      <c r="I425" s="501">
        <v>3364.46</v>
      </c>
      <c r="J425" s="501">
        <v>3384.17</v>
      </c>
      <c r="K425" s="501">
        <v>3387.57</v>
      </c>
      <c r="L425" s="501">
        <v>3382.95</v>
      </c>
      <c r="M425" s="501">
        <v>3373.06</v>
      </c>
      <c r="N425" s="501">
        <v>3378.01</v>
      </c>
      <c r="O425" s="501">
        <v>3375.26</v>
      </c>
      <c r="P425" s="501">
        <v>3460.18</v>
      </c>
      <c r="Q425" s="501">
        <v>3463.45</v>
      </c>
      <c r="R425" s="501">
        <v>3279.13</v>
      </c>
      <c r="S425" s="501">
        <v>3276.42</v>
      </c>
      <c r="T425" s="501">
        <v>3263.31</v>
      </c>
      <c r="U425" s="501">
        <v>3262.52</v>
      </c>
      <c r="V425" s="501">
        <v>3273.52</v>
      </c>
      <c r="W425" s="501">
        <v>3236.54</v>
      </c>
      <c r="X425" s="501">
        <v>3079.01</v>
      </c>
      <c r="Y425" s="501">
        <v>2975.18</v>
      </c>
      <c r="Z425" s="502"/>
    </row>
    <row r="426" spans="1:26">
      <c r="A426" s="500">
        <v>45059</v>
      </c>
      <c r="B426" s="501">
        <v>2920.22</v>
      </c>
      <c r="C426" s="501">
        <v>2695.36</v>
      </c>
      <c r="D426" s="501">
        <v>2566.35</v>
      </c>
      <c r="E426" s="501">
        <v>2540.5300000000002</v>
      </c>
      <c r="F426" s="501">
        <v>2539.86</v>
      </c>
      <c r="G426" s="501">
        <v>2567.6</v>
      </c>
      <c r="H426" s="501">
        <v>2735.28</v>
      </c>
      <c r="I426" s="501">
        <v>2901.26</v>
      </c>
      <c r="J426" s="501">
        <v>3071.87</v>
      </c>
      <c r="K426" s="501">
        <v>3270.88</v>
      </c>
      <c r="L426" s="501">
        <v>3279.19</v>
      </c>
      <c r="M426" s="501">
        <v>3279.36</v>
      </c>
      <c r="N426" s="501">
        <v>3270.65</v>
      </c>
      <c r="O426" s="501">
        <v>3260.77</v>
      </c>
      <c r="P426" s="501">
        <v>3257.73</v>
      </c>
      <c r="Q426" s="501">
        <v>3242.21</v>
      </c>
      <c r="R426" s="501">
        <v>3199.89</v>
      </c>
      <c r="S426" s="501">
        <v>3153.8</v>
      </c>
      <c r="T426" s="501">
        <v>3150.05</v>
      </c>
      <c r="U426" s="501">
        <v>3191.16</v>
      </c>
      <c r="V426" s="501">
        <v>3209.97</v>
      </c>
      <c r="W426" s="501">
        <v>3169.55</v>
      </c>
      <c r="X426" s="501">
        <v>3105.66</v>
      </c>
      <c r="Y426" s="501">
        <v>2947.74</v>
      </c>
      <c r="Z426" s="502"/>
    </row>
    <row r="427" spans="1:26">
      <c r="A427" s="500">
        <v>45060</v>
      </c>
      <c r="B427" s="501">
        <v>2772.06</v>
      </c>
      <c r="C427" s="501">
        <v>2595.77</v>
      </c>
      <c r="D427" s="501">
        <v>2524.31</v>
      </c>
      <c r="E427" s="501">
        <v>2508.61</v>
      </c>
      <c r="F427" s="501">
        <v>2500.62</v>
      </c>
      <c r="G427" s="501">
        <v>2438.3200000000002</v>
      </c>
      <c r="H427" s="501">
        <v>2436.4</v>
      </c>
      <c r="I427" s="501">
        <v>2637.85</v>
      </c>
      <c r="J427" s="501">
        <v>2883.85</v>
      </c>
      <c r="K427" s="501">
        <v>3002.98</v>
      </c>
      <c r="L427" s="501">
        <v>3030.59</v>
      </c>
      <c r="M427" s="501">
        <v>3034.02</v>
      </c>
      <c r="N427" s="501">
        <v>3029.6</v>
      </c>
      <c r="O427" s="501">
        <v>3026.42</v>
      </c>
      <c r="P427" s="501">
        <v>3022.34</v>
      </c>
      <c r="Q427" s="501">
        <v>3026.75</v>
      </c>
      <c r="R427" s="501">
        <v>3027.59</v>
      </c>
      <c r="S427" s="501">
        <v>3005.47</v>
      </c>
      <c r="T427" s="501">
        <v>3035.52</v>
      </c>
      <c r="U427" s="501">
        <v>3105.85</v>
      </c>
      <c r="V427" s="501">
        <v>3148.04</v>
      </c>
      <c r="W427" s="501">
        <v>3106.3</v>
      </c>
      <c r="X427" s="501">
        <v>3041.83</v>
      </c>
      <c r="Y427" s="501">
        <v>2904.61</v>
      </c>
      <c r="Z427" s="502"/>
    </row>
    <row r="428" spans="1:26">
      <c r="A428" s="500">
        <v>45061</v>
      </c>
      <c r="B428" s="501">
        <v>2736.08</v>
      </c>
      <c r="C428" s="501">
        <v>2567.6</v>
      </c>
      <c r="D428" s="501">
        <v>2516.5500000000002</v>
      </c>
      <c r="E428" s="501">
        <v>2497.38</v>
      </c>
      <c r="F428" s="501">
        <v>2542.63</v>
      </c>
      <c r="G428" s="501">
        <v>2636.96</v>
      </c>
      <c r="H428" s="501">
        <v>2878.22</v>
      </c>
      <c r="I428" s="501">
        <v>3075.44</v>
      </c>
      <c r="J428" s="501">
        <v>3318.14</v>
      </c>
      <c r="K428" s="501">
        <v>3351.19</v>
      </c>
      <c r="L428" s="501">
        <v>3331.16</v>
      </c>
      <c r="M428" s="501">
        <v>3342.34</v>
      </c>
      <c r="N428" s="501">
        <v>3341.75</v>
      </c>
      <c r="O428" s="501">
        <v>3362.29</v>
      </c>
      <c r="P428" s="501">
        <v>3318.45</v>
      </c>
      <c r="Q428" s="501">
        <v>3292.43</v>
      </c>
      <c r="R428" s="501">
        <v>3273.81</v>
      </c>
      <c r="S428" s="501">
        <v>3246.09</v>
      </c>
      <c r="T428" s="501">
        <v>3218.66</v>
      </c>
      <c r="U428" s="501">
        <v>3214.58</v>
      </c>
      <c r="V428" s="501">
        <v>3242.2</v>
      </c>
      <c r="W428" s="501">
        <v>3252.9</v>
      </c>
      <c r="X428" s="501">
        <v>3055.4</v>
      </c>
      <c r="Y428" s="501">
        <v>2925.6</v>
      </c>
      <c r="Z428" s="502"/>
    </row>
    <row r="429" spans="1:26">
      <c r="A429" s="500">
        <v>45062</v>
      </c>
      <c r="B429" s="501">
        <v>2682.99</v>
      </c>
      <c r="C429" s="501">
        <v>2607.89</v>
      </c>
      <c r="D429" s="501">
        <v>2536.29</v>
      </c>
      <c r="E429" s="501">
        <v>2525.69</v>
      </c>
      <c r="F429" s="501">
        <v>2563.1999999999998</v>
      </c>
      <c r="G429" s="501">
        <v>2722.65</v>
      </c>
      <c r="H429" s="501">
        <v>2912.08</v>
      </c>
      <c r="I429" s="501">
        <v>3069.51</v>
      </c>
      <c r="J429" s="501">
        <v>3282.45</v>
      </c>
      <c r="K429" s="501">
        <v>3305.99</v>
      </c>
      <c r="L429" s="501">
        <v>3288.36</v>
      </c>
      <c r="M429" s="501">
        <v>3284.08</v>
      </c>
      <c r="N429" s="501">
        <v>3275</v>
      </c>
      <c r="O429" s="501">
        <v>3303.56</v>
      </c>
      <c r="P429" s="501">
        <v>3276.01</v>
      </c>
      <c r="Q429" s="501">
        <v>3190.24</v>
      </c>
      <c r="R429" s="501">
        <v>3134.15</v>
      </c>
      <c r="S429" s="501">
        <v>3115</v>
      </c>
      <c r="T429" s="501">
        <v>3091.7</v>
      </c>
      <c r="U429" s="501">
        <v>3105.38</v>
      </c>
      <c r="V429" s="501">
        <v>3168.49</v>
      </c>
      <c r="W429" s="501">
        <v>3224.92</v>
      </c>
      <c r="X429" s="501">
        <v>3022.62</v>
      </c>
      <c r="Y429" s="501">
        <v>2839.19</v>
      </c>
      <c r="Z429" s="502"/>
    </row>
    <row r="430" spans="1:26">
      <c r="A430" s="500">
        <v>45063</v>
      </c>
      <c r="B430" s="501">
        <v>2606</v>
      </c>
      <c r="C430" s="501">
        <v>2524.2399999999998</v>
      </c>
      <c r="D430" s="501">
        <v>2465.1799999999998</v>
      </c>
      <c r="E430" s="501">
        <v>2423.46</v>
      </c>
      <c r="F430" s="501">
        <v>2466.91</v>
      </c>
      <c r="G430" s="501">
        <v>2594.48</v>
      </c>
      <c r="H430" s="501">
        <v>2863.32</v>
      </c>
      <c r="I430" s="501">
        <v>3038.15</v>
      </c>
      <c r="J430" s="501">
        <v>3229.81</v>
      </c>
      <c r="K430" s="501">
        <v>3292.55</v>
      </c>
      <c r="L430" s="501">
        <v>3254.3</v>
      </c>
      <c r="M430" s="501">
        <v>3289.58</v>
      </c>
      <c r="N430" s="501">
        <v>3278.4</v>
      </c>
      <c r="O430" s="501">
        <v>3291.07</v>
      </c>
      <c r="P430" s="501">
        <v>3235.76</v>
      </c>
      <c r="Q430" s="501">
        <v>3172.25</v>
      </c>
      <c r="R430" s="501">
        <v>3111.13</v>
      </c>
      <c r="S430" s="501">
        <v>3084.98</v>
      </c>
      <c r="T430" s="501">
        <v>3071.38</v>
      </c>
      <c r="U430" s="501">
        <v>3086.64</v>
      </c>
      <c r="V430" s="501">
        <v>3123.45</v>
      </c>
      <c r="W430" s="501">
        <v>3190.98</v>
      </c>
      <c r="X430" s="501">
        <v>3032.58</v>
      </c>
      <c r="Y430" s="501">
        <v>2788.08</v>
      </c>
      <c r="Z430" s="502"/>
    </row>
    <row r="431" spans="1:26">
      <c r="A431" s="500">
        <v>45064</v>
      </c>
      <c r="B431" s="501">
        <v>2654.13</v>
      </c>
      <c r="C431" s="501">
        <v>2573.14</v>
      </c>
      <c r="D431" s="501">
        <v>2476.52</v>
      </c>
      <c r="E431" s="501">
        <v>2460.0700000000002</v>
      </c>
      <c r="F431" s="501">
        <v>2537.0300000000002</v>
      </c>
      <c r="G431" s="501">
        <v>2643.21</v>
      </c>
      <c r="H431" s="501">
        <v>2839.14</v>
      </c>
      <c r="I431" s="501">
        <v>3038.06</v>
      </c>
      <c r="J431" s="501">
        <v>3228.25</v>
      </c>
      <c r="K431" s="501">
        <v>3267.75</v>
      </c>
      <c r="L431" s="501">
        <v>3245.41</v>
      </c>
      <c r="M431" s="501">
        <v>3252.6</v>
      </c>
      <c r="N431" s="501">
        <v>3248.81</v>
      </c>
      <c r="O431" s="501">
        <v>3263.91</v>
      </c>
      <c r="P431" s="501">
        <v>3250.98</v>
      </c>
      <c r="Q431" s="501">
        <v>3236.46</v>
      </c>
      <c r="R431" s="501">
        <v>3241.27</v>
      </c>
      <c r="S431" s="501">
        <v>3239.63</v>
      </c>
      <c r="T431" s="501">
        <v>3228.23</v>
      </c>
      <c r="U431" s="501">
        <v>3251.02</v>
      </c>
      <c r="V431" s="501">
        <v>3256.77</v>
      </c>
      <c r="W431" s="501">
        <v>3263.85</v>
      </c>
      <c r="X431" s="501">
        <v>3069.22</v>
      </c>
      <c r="Y431" s="501">
        <v>2907.94</v>
      </c>
      <c r="Z431" s="502"/>
    </row>
    <row r="432" spans="1:26">
      <c r="A432" s="500">
        <v>45065</v>
      </c>
      <c r="B432" s="501">
        <v>2649.47</v>
      </c>
      <c r="C432" s="501">
        <v>2514.59</v>
      </c>
      <c r="D432" s="501">
        <v>2433.9899999999998</v>
      </c>
      <c r="E432" s="501">
        <v>2400.35</v>
      </c>
      <c r="F432" s="501">
        <v>2430.4499999999998</v>
      </c>
      <c r="G432" s="501">
        <v>2700.42</v>
      </c>
      <c r="H432" s="501">
        <v>2880.63</v>
      </c>
      <c r="I432" s="501">
        <v>3139.27</v>
      </c>
      <c r="J432" s="501">
        <v>3327.33</v>
      </c>
      <c r="K432" s="501">
        <v>3377.42</v>
      </c>
      <c r="L432" s="501">
        <v>3364.94</v>
      </c>
      <c r="M432" s="501">
        <v>3380.1</v>
      </c>
      <c r="N432" s="501">
        <v>3380.54</v>
      </c>
      <c r="O432" s="501">
        <v>3383.05</v>
      </c>
      <c r="P432" s="501">
        <v>3369.38</v>
      </c>
      <c r="Q432" s="501">
        <v>3355.1</v>
      </c>
      <c r="R432" s="501">
        <v>3326.91</v>
      </c>
      <c r="S432" s="501">
        <v>3309.88</v>
      </c>
      <c r="T432" s="501">
        <v>3288.1</v>
      </c>
      <c r="U432" s="501">
        <v>3289.75</v>
      </c>
      <c r="V432" s="501">
        <v>3302.82</v>
      </c>
      <c r="W432" s="501">
        <v>3301.82</v>
      </c>
      <c r="X432" s="501">
        <v>3137.91</v>
      </c>
      <c r="Y432" s="501">
        <v>2934.6</v>
      </c>
      <c r="Z432" s="502"/>
    </row>
    <row r="433" spans="1:26">
      <c r="A433" s="500">
        <v>45066</v>
      </c>
      <c r="B433" s="501">
        <v>2930.1</v>
      </c>
      <c r="C433" s="501">
        <v>2815.24</v>
      </c>
      <c r="D433" s="501">
        <v>2743.29</v>
      </c>
      <c r="E433" s="501">
        <v>2642.66</v>
      </c>
      <c r="F433" s="501">
        <v>2639.95</v>
      </c>
      <c r="G433" s="501">
        <v>2701.28</v>
      </c>
      <c r="H433" s="501">
        <v>2807.86</v>
      </c>
      <c r="I433" s="501">
        <v>2987.26</v>
      </c>
      <c r="J433" s="501">
        <v>3188.37</v>
      </c>
      <c r="K433" s="501">
        <v>3320.34</v>
      </c>
      <c r="L433" s="501">
        <v>3358.32</v>
      </c>
      <c r="M433" s="501">
        <v>3340.8</v>
      </c>
      <c r="N433" s="501">
        <v>3266.8</v>
      </c>
      <c r="O433" s="501">
        <v>3241.96</v>
      </c>
      <c r="P433" s="501">
        <v>3229.6</v>
      </c>
      <c r="Q433" s="501">
        <v>3196.94</v>
      </c>
      <c r="R433" s="501">
        <v>3182.8</v>
      </c>
      <c r="S433" s="501">
        <v>3154.73</v>
      </c>
      <c r="T433" s="501">
        <v>3159.03</v>
      </c>
      <c r="U433" s="501">
        <v>3194.37</v>
      </c>
      <c r="V433" s="501">
        <v>3229.78</v>
      </c>
      <c r="W433" s="501">
        <v>3197.89</v>
      </c>
      <c r="X433" s="501">
        <v>3054.76</v>
      </c>
      <c r="Y433" s="501">
        <v>2892.51</v>
      </c>
      <c r="Z433" s="502"/>
    </row>
    <row r="434" spans="1:26">
      <c r="A434" s="500">
        <v>45067</v>
      </c>
      <c r="B434" s="501">
        <v>2868.73</v>
      </c>
      <c r="C434" s="501">
        <v>2740.1</v>
      </c>
      <c r="D434" s="501">
        <v>2629.58</v>
      </c>
      <c r="E434" s="501">
        <v>2555.48</v>
      </c>
      <c r="F434" s="501">
        <v>2551.88</v>
      </c>
      <c r="G434" s="501">
        <v>2523.7399999999998</v>
      </c>
      <c r="H434" s="501">
        <v>2607.13</v>
      </c>
      <c r="I434" s="501">
        <v>2832.98</v>
      </c>
      <c r="J434" s="501">
        <v>3000.84</v>
      </c>
      <c r="K434" s="501">
        <v>3117.21</v>
      </c>
      <c r="L434" s="501">
        <v>3152.43</v>
      </c>
      <c r="M434" s="501">
        <v>3160.8</v>
      </c>
      <c r="N434" s="501">
        <v>3155.56</v>
      </c>
      <c r="O434" s="501">
        <v>3147.74</v>
      </c>
      <c r="P434" s="501">
        <v>3150.69</v>
      </c>
      <c r="Q434" s="501">
        <v>3152.78</v>
      </c>
      <c r="R434" s="501">
        <v>3147.96</v>
      </c>
      <c r="S434" s="501">
        <v>3141.83</v>
      </c>
      <c r="T434" s="501">
        <v>3203.62</v>
      </c>
      <c r="U434" s="501">
        <v>3289.24</v>
      </c>
      <c r="V434" s="501">
        <v>3319.35</v>
      </c>
      <c r="W434" s="501">
        <v>3256</v>
      </c>
      <c r="X434" s="501">
        <v>3107.28</v>
      </c>
      <c r="Y434" s="501">
        <v>2936.64</v>
      </c>
      <c r="Z434" s="502"/>
    </row>
    <row r="435" spans="1:26">
      <c r="A435" s="500">
        <v>45068</v>
      </c>
      <c r="B435" s="501">
        <v>2749.87</v>
      </c>
      <c r="C435" s="501">
        <v>2611.94</v>
      </c>
      <c r="D435" s="501">
        <v>2551.0700000000002</v>
      </c>
      <c r="E435" s="501">
        <v>2546.67</v>
      </c>
      <c r="F435" s="501">
        <v>2549.46</v>
      </c>
      <c r="G435" s="501">
        <v>2612.66</v>
      </c>
      <c r="H435" s="501">
        <v>2866.38</v>
      </c>
      <c r="I435" s="501">
        <v>3111.93</v>
      </c>
      <c r="J435" s="501">
        <v>3338.49</v>
      </c>
      <c r="K435" s="501">
        <v>3384.13</v>
      </c>
      <c r="L435" s="501">
        <v>3365.89</v>
      </c>
      <c r="M435" s="501">
        <v>3364.76</v>
      </c>
      <c r="N435" s="501">
        <v>3320.43</v>
      </c>
      <c r="O435" s="501">
        <v>3349.37</v>
      </c>
      <c r="P435" s="501">
        <v>3329.67</v>
      </c>
      <c r="Q435" s="501">
        <v>3301.17</v>
      </c>
      <c r="R435" s="501">
        <v>3281.79</v>
      </c>
      <c r="S435" s="501">
        <v>3289.55</v>
      </c>
      <c r="T435" s="501">
        <v>3272.29</v>
      </c>
      <c r="U435" s="501">
        <v>3246.43</v>
      </c>
      <c r="V435" s="501">
        <v>3276.35</v>
      </c>
      <c r="W435" s="501">
        <v>3303.16</v>
      </c>
      <c r="X435" s="501">
        <v>3043.84</v>
      </c>
      <c r="Y435" s="501">
        <v>2870.85</v>
      </c>
      <c r="Z435" s="502"/>
    </row>
    <row r="436" spans="1:26">
      <c r="A436" s="500">
        <v>45069</v>
      </c>
      <c r="B436" s="501">
        <v>2767.76</v>
      </c>
      <c r="C436" s="501">
        <v>2624.8</v>
      </c>
      <c r="D436" s="501">
        <v>2540.2199999999998</v>
      </c>
      <c r="E436" s="501">
        <v>2512.75</v>
      </c>
      <c r="F436" s="501">
        <v>2675</v>
      </c>
      <c r="G436" s="501">
        <v>2834.38</v>
      </c>
      <c r="H436" s="501">
        <v>2927.25</v>
      </c>
      <c r="I436" s="501">
        <v>3114.48</v>
      </c>
      <c r="J436" s="501">
        <v>3294.89</v>
      </c>
      <c r="K436" s="501">
        <v>3336.06</v>
      </c>
      <c r="L436" s="501">
        <v>3279.95</v>
      </c>
      <c r="M436" s="501">
        <v>3346.21</v>
      </c>
      <c r="N436" s="501">
        <v>3352.69</v>
      </c>
      <c r="O436" s="501">
        <v>3366.49</v>
      </c>
      <c r="P436" s="501">
        <v>3331.16</v>
      </c>
      <c r="Q436" s="501">
        <v>3308.81</v>
      </c>
      <c r="R436" s="501">
        <v>3291.92</v>
      </c>
      <c r="S436" s="501">
        <v>3262.47</v>
      </c>
      <c r="T436" s="501">
        <v>3233.87</v>
      </c>
      <c r="U436" s="501">
        <v>3221.85</v>
      </c>
      <c r="V436" s="501">
        <v>3224.86</v>
      </c>
      <c r="W436" s="501">
        <v>3221.87</v>
      </c>
      <c r="X436" s="501">
        <v>3056.05</v>
      </c>
      <c r="Y436" s="501">
        <v>2824.42</v>
      </c>
      <c r="Z436" s="502"/>
    </row>
    <row r="437" spans="1:26">
      <c r="A437" s="500">
        <v>45070</v>
      </c>
      <c r="B437" s="501">
        <v>2788.14</v>
      </c>
      <c r="C437" s="501">
        <v>2590.5100000000002</v>
      </c>
      <c r="D437" s="501">
        <v>2559.3000000000002</v>
      </c>
      <c r="E437" s="501">
        <v>2524.4699999999998</v>
      </c>
      <c r="F437" s="501">
        <v>2546.36</v>
      </c>
      <c r="G437" s="501">
        <v>2741.25</v>
      </c>
      <c r="H437" s="501">
        <v>3067.3</v>
      </c>
      <c r="I437" s="501">
        <v>3235.33</v>
      </c>
      <c r="J437" s="501">
        <v>3333.16</v>
      </c>
      <c r="K437" s="501">
        <v>3347.84</v>
      </c>
      <c r="L437" s="501">
        <v>3338.61</v>
      </c>
      <c r="M437" s="501">
        <v>3328.94</v>
      </c>
      <c r="N437" s="501">
        <v>3324.76</v>
      </c>
      <c r="O437" s="501">
        <v>3330.35</v>
      </c>
      <c r="P437" s="501">
        <v>3325.33</v>
      </c>
      <c r="Q437" s="501">
        <v>3332.22</v>
      </c>
      <c r="R437" s="501">
        <v>3318.77</v>
      </c>
      <c r="S437" s="501">
        <v>3311.68</v>
      </c>
      <c r="T437" s="501">
        <v>3309.16</v>
      </c>
      <c r="U437" s="501">
        <v>3311.66</v>
      </c>
      <c r="V437" s="501">
        <v>3313.88</v>
      </c>
      <c r="W437" s="501">
        <v>3304.35</v>
      </c>
      <c r="X437" s="501">
        <v>3201.04</v>
      </c>
      <c r="Y437" s="501">
        <v>2902.67</v>
      </c>
      <c r="Z437" s="502"/>
    </row>
    <row r="438" spans="1:26">
      <c r="A438" s="500">
        <v>45071</v>
      </c>
      <c r="B438" s="501">
        <v>2627.99</v>
      </c>
      <c r="C438" s="501">
        <v>2527.5100000000002</v>
      </c>
      <c r="D438" s="501">
        <v>2472.84</v>
      </c>
      <c r="E438" s="501">
        <v>2433.89</v>
      </c>
      <c r="F438" s="501">
        <v>2446.98</v>
      </c>
      <c r="G438" s="501">
        <v>2631.14</v>
      </c>
      <c r="H438" s="501">
        <v>3029.76</v>
      </c>
      <c r="I438" s="501">
        <v>3189.2</v>
      </c>
      <c r="J438" s="501">
        <v>3358.17</v>
      </c>
      <c r="K438" s="501">
        <v>3355.93</v>
      </c>
      <c r="L438" s="501">
        <v>3350.56</v>
      </c>
      <c r="M438" s="501">
        <v>3346.25</v>
      </c>
      <c r="N438" s="501">
        <v>3348.67</v>
      </c>
      <c r="O438" s="501">
        <v>3347.31</v>
      </c>
      <c r="P438" s="501">
        <v>3365.53</v>
      </c>
      <c r="Q438" s="501">
        <v>3363.21</v>
      </c>
      <c r="R438" s="501">
        <v>3342.04</v>
      </c>
      <c r="S438" s="501">
        <v>3338.57</v>
      </c>
      <c r="T438" s="501">
        <v>3336.05</v>
      </c>
      <c r="U438" s="501">
        <v>3340.24</v>
      </c>
      <c r="V438" s="501">
        <v>3343.86</v>
      </c>
      <c r="W438" s="501">
        <v>3328.7</v>
      </c>
      <c r="X438" s="501">
        <v>3225.98</v>
      </c>
      <c r="Y438" s="501">
        <v>2837.69</v>
      </c>
      <c r="Z438" s="502"/>
    </row>
    <row r="439" spans="1:26">
      <c r="A439" s="500">
        <v>45072</v>
      </c>
      <c r="B439" s="501">
        <v>2722.33</v>
      </c>
      <c r="C439" s="501">
        <v>2592.15</v>
      </c>
      <c r="D439" s="501">
        <v>2535.14</v>
      </c>
      <c r="E439" s="501">
        <v>2498.89</v>
      </c>
      <c r="F439" s="501">
        <v>2535</v>
      </c>
      <c r="G439" s="501">
        <v>2656.54</v>
      </c>
      <c r="H439" s="501">
        <v>3071.98</v>
      </c>
      <c r="I439" s="501">
        <v>3240.17</v>
      </c>
      <c r="J439" s="501">
        <v>3441.28</v>
      </c>
      <c r="K439" s="501">
        <v>3445.93</v>
      </c>
      <c r="L439" s="501">
        <v>3443.81</v>
      </c>
      <c r="M439" s="501">
        <v>3439.95</v>
      </c>
      <c r="N439" s="501">
        <v>3442.3</v>
      </c>
      <c r="O439" s="501">
        <v>3442.48</v>
      </c>
      <c r="P439" s="501">
        <v>3455.93</v>
      </c>
      <c r="Q439" s="501">
        <v>3450.51</v>
      </c>
      <c r="R439" s="501">
        <v>3427.31</v>
      </c>
      <c r="S439" s="501">
        <v>3422.26</v>
      </c>
      <c r="T439" s="501">
        <v>3418.13</v>
      </c>
      <c r="U439" s="501">
        <v>3415.66</v>
      </c>
      <c r="V439" s="501">
        <v>3422.76</v>
      </c>
      <c r="W439" s="501">
        <v>3410.59</v>
      </c>
      <c r="X439" s="501">
        <v>3347.98</v>
      </c>
      <c r="Y439" s="501">
        <v>3077.57</v>
      </c>
      <c r="Z439" s="502"/>
    </row>
    <row r="440" spans="1:26">
      <c r="A440" s="500">
        <v>45073</v>
      </c>
      <c r="B440" s="501">
        <v>3015.52</v>
      </c>
      <c r="C440" s="501">
        <v>2780.8</v>
      </c>
      <c r="D440" s="501">
        <v>2644.2</v>
      </c>
      <c r="E440" s="501">
        <v>2605.2399999999998</v>
      </c>
      <c r="F440" s="501">
        <v>2589.09</v>
      </c>
      <c r="G440" s="501">
        <v>2576.36</v>
      </c>
      <c r="H440" s="501">
        <v>2908.92</v>
      </c>
      <c r="I440" s="501">
        <v>3071.2</v>
      </c>
      <c r="J440" s="501">
        <v>3317.96</v>
      </c>
      <c r="K440" s="501">
        <v>3369.84</v>
      </c>
      <c r="L440" s="501">
        <v>3369.2</v>
      </c>
      <c r="M440" s="501">
        <v>3368.62</v>
      </c>
      <c r="N440" s="501">
        <v>3367.19</v>
      </c>
      <c r="O440" s="501">
        <v>3362.18</v>
      </c>
      <c r="P440" s="501">
        <v>3354.63</v>
      </c>
      <c r="Q440" s="501">
        <v>3351.79</v>
      </c>
      <c r="R440" s="501">
        <v>3352.85</v>
      </c>
      <c r="S440" s="501">
        <v>3328.47</v>
      </c>
      <c r="T440" s="501">
        <v>3325.43</v>
      </c>
      <c r="U440" s="501">
        <v>3330.34</v>
      </c>
      <c r="V440" s="501">
        <v>3362.16</v>
      </c>
      <c r="W440" s="501">
        <v>3353.48</v>
      </c>
      <c r="X440" s="501">
        <v>3290.65</v>
      </c>
      <c r="Y440" s="501">
        <v>2977.81</v>
      </c>
      <c r="Z440" s="502"/>
    </row>
    <row r="441" spans="1:26">
      <c r="A441" s="500">
        <v>45074</v>
      </c>
      <c r="B441" s="501">
        <v>2889.86</v>
      </c>
      <c r="C441" s="501">
        <v>2728.93</v>
      </c>
      <c r="D441" s="501">
        <v>2614.0700000000002</v>
      </c>
      <c r="E441" s="501">
        <v>2586.33</v>
      </c>
      <c r="F441" s="501">
        <v>2564.5300000000002</v>
      </c>
      <c r="G441" s="501">
        <v>2553.9</v>
      </c>
      <c r="H441" s="501">
        <v>2768.38</v>
      </c>
      <c r="I441" s="501">
        <v>2924.43</v>
      </c>
      <c r="J441" s="501">
        <v>3174.03</v>
      </c>
      <c r="K441" s="501">
        <v>3312.15</v>
      </c>
      <c r="L441" s="501">
        <v>3317.4</v>
      </c>
      <c r="M441" s="501">
        <v>3315.81</v>
      </c>
      <c r="N441" s="501">
        <v>3315.53</v>
      </c>
      <c r="O441" s="501">
        <v>3315.64</v>
      </c>
      <c r="P441" s="501">
        <v>3315.35</v>
      </c>
      <c r="Q441" s="501">
        <v>3316.38</v>
      </c>
      <c r="R441" s="501">
        <v>3322.82</v>
      </c>
      <c r="S441" s="501">
        <v>3325.39</v>
      </c>
      <c r="T441" s="501">
        <v>3323.48</v>
      </c>
      <c r="U441" s="501">
        <v>3320.36</v>
      </c>
      <c r="V441" s="501">
        <v>3332.3</v>
      </c>
      <c r="W441" s="501">
        <v>3322.82</v>
      </c>
      <c r="X441" s="501">
        <v>3245.03</v>
      </c>
      <c r="Y441" s="501">
        <v>2960.27</v>
      </c>
      <c r="Z441" s="502"/>
    </row>
    <row r="442" spans="1:26">
      <c r="A442" s="500">
        <v>45075</v>
      </c>
      <c r="B442" s="501">
        <v>2815.39</v>
      </c>
      <c r="C442" s="501">
        <v>2660.09</v>
      </c>
      <c r="D442" s="501">
        <v>2575.12</v>
      </c>
      <c r="E442" s="501">
        <v>2539.4299999999998</v>
      </c>
      <c r="F442" s="501">
        <v>2561.33</v>
      </c>
      <c r="G442" s="501">
        <v>2645.74</v>
      </c>
      <c r="H442" s="501">
        <v>3079.9</v>
      </c>
      <c r="I442" s="501">
        <v>3306.01</v>
      </c>
      <c r="J442" s="501">
        <v>3393.38</v>
      </c>
      <c r="K442" s="501">
        <v>3394.98</v>
      </c>
      <c r="L442" s="501">
        <v>3391.9</v>
      </c>
      <c r="M442" s="501">
        <v>3390.77</v>
      </c>
      <c r="N442" s="501">
        <v>3392.64</v>
      </c>
      <c r="O442" s="501">
        <v>3390.63</v>
      </c>
      <c r="P442" s="501">
        <v>3388.13</v>
      </c>
      <c r="Q442" s="501">
        <v>3382.29</v>
      </c>
      <c r="R442" s="501">
        <v>3377.52</v>
      </c>
      <c r="S442" s="501">
        <v>3376.18</v>
      </c>
      <c r="T442" s="501">
        <v>3371.51</v>
      </c>
      <c r="U442" s="501">
        <v>3372.57</v>
      </c>
      <c r="V442" s="501">
        <v>3373.13</v>
      </c>
      <c r="W442" s="501">
        <v>3364.49</v>
      </c>
      <c r="X442" s="501">
        <v>3318.23</v>
      </c>
      <c r="Y442" s="501">
        <v>2931.76</v>
      </c>
      <c r="Z442" s="502"/>
    </row>
    <row r="443" spans="1:26">
      <c r="A443" s="500">
        <v>45076</v>
      </c>
      <c r="B443" s="501">
        <v>2741.31</v>
      </c>
      <c r="C443" s="501">
        <v>2605.67</v>
      </c>
      <c r="D443" s="501">
        <v>2580.5500000000002</v>
      </c>
      <c r="E443" s="501">
        <v>2557.1799999999998</v>
      </c>
      <c r="F443" s="501">
        <v>2582.35</v>
      </c>
      <c r="G443" s="501">
        <v>2746.9</v>
      </c>
      <c r="H443" s="501">
        <v>3081.88</v>
      </c>
      <c r="I443" s="501">
        <v>3320.79</v>
      </c>
      <c r="J443" s="501">
        <v>3435.14</v>
      </c>
      <c r="K443" s="501">
        <v>3437.05</v>
      </c>
      <c r="L443" s="501">
        <v>3435.33</v>
      </c>
      <c r="M443" s="501">
        <v>3431.54</v>
      </c>
      <c r="N443" s="501">
        <v>3434.89</v>
      </c>
      <c r="O443" s="501">
        <v>3434.23</v>
      </c>
      <c r="P443" s="501">
        <v>3431.87</v>
      </c>
      <c r="Q443" s="501">
        <v>3427.32</v>
      </c>
      <c r="R443" s="501">
        <v>3422.39</v>
      </c>
      <c r="S443" s="501">
        <v>3418.65</v>
      </c>
      <c r="T443" s="501">
        <v>3412.49</v>
      </c>
      <c r="U443" s="501">
        <v>3411.78</v>
      </c>
      <c r="V443" s="501">
        <v>3413.62</v>
      </c>
      <c r="W443" s="501">
        <v>3391.55</v>
      </c>
      <c r="X443" s="501">
        <v>3300.15</v>
      </c>
      <c r="Y443" s="501">
        <v>2959.49</v>
      </c>
      <c r="Z443" s="502"/>
    </row>
    <row r="444" spans="1:26">
      <c r="A444" s="500">
        <v>45077</v>
      </c>
      <c r="B444" s="501">
        <v>2693.34</v>
      </c>
      <c r="C444" s="501">
        <v>2567.7800000000002</v>
      </c>
      <c r="D444" s="501">
        <v>2507.2800000000002</v>
      </c>
      <c r="E444" s="501">
        <v>2473.6</v>
      </c>
      <c r="F444" s="501">
        <v>2469.6</v>
      </c>
      <c r="G444" s="501">
        <v>2634.59</v>
      </c>
      <c r="H444" s="501">
        <v>3035.75</v>
      </c>
      <c r="I444" s="501">
        <v>3273.51</v>
      </c>
      <c r="J444" s="501">
        <v>3459.39</v>
      </c>
      <c r="K444" s="501">
        <v>3459.56</v>
      </c>
      <c r="L444" s="501">
        <v>3457.11</v>
      </c>
      <c r="M444" s="501">
        <v>3453.32</v>
      </c>
      <c r="N444" s="501">
        <v>3456.7</v>
      </c>
      <c r="O444" s="501">
        <v>3453.37</v>
      </c>
      <c r="P444" s="501">
        <v>3444.22</v>
      </c>
      <c r="Q444" s="501">
        <v>3436.85</v>
      </c>
      <c r="R444" s="501">
        <v>3433.62</v>
      </c>
      <c r="S444" s="501">
        <v>3431.55</v>
      </c>
      <c r="T444" s="501">
        <v>3429.48</v>
      </c>
      <c r="U444" s="501">
        <v>3431.66</v>
      </c>
      <c r="V444" s="501">
        <v>3435.41</v>
      </c>
      <c r="W444" s="501">
        <v>3416.23</v>
      </c>
      <c r="X444" s="501">
        <v>3318.68</v>
      </c>
      <c r="Y444" s="501">
        <v>3015.81</v>
      </c>
      <c r="Z444" s="502"/>
    </row>
    <row r="445" spans="1:26">
      <c r="A445" s="506"/>
      <c r="B445" s="507"/>
      <c r="C445" s="507"/>
      <c r="D445" s="507"/>
      <c r="E445" s="507"/>
      <c r="F445" s="507"/>
      <c r="G445" s="507"/>
      <c r="H445" s="507"/>
      <c r="I445" s="507"/>
      <c r="J445" s="507"/>
      <c r="K445" s="507"/>
      <c r="L445" s="507"/>
      <c r="M445" s="507"/>
      <c r="N445" s="507"/>
      <c r="O445" s="507"/>
      <c r="P445" s="507"/>
      <c r="Q445" s="507"/>
      <c r="R445" s="507"/>
      <c r="S445" s="507"/>
      <c r="T445" s="507"/>
      <c r="U445" s="507"/>
      <c r="V445" s="507"/>
      <c r="W445" s="507"/>
      <c r="X445" s="507"/>
      <c r="Y445" s="507"/>
      <c r="Z445" s="502"/>
    </row>
    <row r="447" spans="1:26" ht="27" customHeight="1">
      <c r="A447" s="871" t="s">
        <v>740</v>
      </c>
      <c r="B447" s="872"/>
      <c r="C447" s="872"/>
      <c r="D447" s="872"/>
      <c r="E447" s="872"/>
      <c r="F447" s="872"/>
      <c r="G447" s="873"/>
      <c r="H447" s="874">
        <v>871272.14</v>
      </c>
      <c r="I447" s="874"/>
    </row>
    <row r="449" spans="1:11">
      <c r="A449" s="875" t="s">
        <v>741</v>
      </c>
      <c r="B449" s="875"/>
      <c r="C449" s="875"/>
      <c r="D449" s="875"/>
      <c r="E449" s="875"/>
      <c r="F449" s="875"/>
      <c r="G449" s="875"/>
      <c r="H449" s="875"/>
      <c r="I449" s="875"/>
      <c r="J449" s="875"/>
      <c r="K449" s="875"/>
    </row>
    <row r="450" spans="1:11">
      <c r="A450" s="875"/>
      <c r="B450" s="875"/>
      <c r="C450" s="875"/>
      <c r="D450" s="875"/>
      <c r="E450" s="875"/>
      <c r="F450" s="875"/>
      <c r="G450" s="875"/>
      <c r="H450" s="875"/>
      <c r="I450" s="875"/>
      <c r="J450" s="875"/>
      <c r="K450" s="875"/>
    </row>
    <row r="451" spans="1:11">
      <c r="A451" s="865"/>
      <c r="B451" s="865"/>
      <c r="C451" s="865"/>
      <c r="D451" s="865" t="s">
        <v>418</v>
      </c>
      <c r="E451" s="865"/>
      <c r="F451" s="865"/>
      <c r="G451" s="865"/>
      <c r="H451" s="865"/>
      <c r="I451" s="865"/>
      <c r="J451" s="865"/>
      <c r="K451" s="865"/>
    </row>
    <row r="452" spans="1:11">
      <c r="A452" s="865"/>
      <c r="B452" s="865"/>
      <c r="C452" s="865"/>
      <c r="D452" s="865" t="s">
        <v>417</v>
      </c>
      <c r="E452" s="865"/>
      <c r="F452" s="865" t="s">
        <v>742</v>
      </c>
      <c r="G452" s="865"/>
      <c r="H452" s="865" t="s">
        <v>743</v>
      </c>
      <c r="I452" s="865"/>
      <c r="J452" s="865" t="s">
        <v>744</v>
      </c>
      <c r="K452" s="865"/>
    </row>
    <row r="453" spans="1:11" ht="37" customHeight="1">
      <c r="A453" s="876" t="s">
        <v>745</v>
      </c>
      <c r="B453" s="876"/>
      <c r="C453" s="876"/>
      <c r="D453" s="864">
        <v>1177528.28</v>
      </c>
      <c r="E453" s="865"/>
      <c r="F453" s="864">
        <v>1394743.18</v>
      </c>
      <c r="G453" s="865"/>
      <c r="H453" s="864">
        <v>1726726.93</v>
      </c>
      <c r="I453" s="865"/>
      <c r="J453" s="864">
        <v>1858968.69</v>
      </c>
      <c r="K453" s="865"/>
    </row>
  </sheetData>
  <sheetProtection selectLockedCells="1" selectUnlockedCells="1"/>
  <mergeCells count="60">
    <mergeCell ref="A453:C453"/>
    <mergeCell ref="D453:E453"/>
    <mergeCell ref="F453:G453"/>
    <mergeCell ref="H453:I453"/>
    <mergeCell ref="J453:K453"/>
    <mergeCell ref="B412:Y412"/>
    <mergeCell ref="A447:G447"/>
    <mergeCell ref="H447:I447"/>
    <mergeCell ref="A449:K450"/>
    <mergeCell ref="A451:C452"/>
    <mergeCell ref="D451:K451"/>
    <mergeCell ref="D452:E452"/>
    <mergeCell ref="F452:G452"/>
    <mergeCell ref="H452:I452"/>
    <mergeCell ref="J452:K452"/>
    <mergeCell ref="A297:G297"/>
    <mergeCell ref="H297:I297"/>
    <mergeCell ref="B308:Y308"/>
    <mergeCell ref="B343:Y343"/>
    <mergeCell ref="B378:Y378"/>
    <mergeCell ref="B304:Z305"/>
    <mergeCell ref="A299:K300"/>
    <mergeCell ref="A301:C302"/>
    <mergeCell ref="D301:K301"/>
    <mergeCell ref="D302:E302"/>
    <mergeCell ref="F302:G302"/>
    <mergeCell ref="H302:I302"/>
    <mergeCell ref="J302:K302"/>
    <mergeCell ref="A303:C303"/>
    <mergeCell ref="D303:E303"/>
    <mergeCell ref="F303:G303"/>
    <mergeCell ref="H303:I303"/>
    <mergeCell ref="J303:K303"/>
    <mergeCell ref="D151:K151"/>
    <mergeCell ref="D152:E152"/>
    <mergeCell ref="F152:G152"/>
    <mergeCell ref="H152:I152"/>
    <mergeCell ref="B262:Y262"/>
    <mergeCell ref="B154:Z155"/>
    <mergeCell ref="B158:Y158"/>
    <mergeCell ref="B193:Y193"/>
    <mergeCell ref="B228:Y228"/>
    <mergeCell ref="J152:K152"/>
    <mergeCell ref="A153:C153"/>
    <mergeCell ref="D153:E153"/>
    <mergeCell ref="F153:G153"/>
    <mergeCell ref="H153:I153"/>
    <mergeCell ref="J153:K153"/>
    <mergeCell ref="A151:C152"/>
    <mergeCell ref="B43:Y43"/>
    <mergeCell ref="B1:Y1"/>
    <mergeCell ref="B2:Z2"/>
    <mergeCell ref="B3:Z3"/>
    <mergeCell ref="B4:Z5"/>
    <mergeCell ref="B8:Y8"/>
    <mergeCell ref="B78:Y78"/>
    <mergeCell ref="B112:Y112"/>
    <mergeCell ref="A147:G147"/>
    <mergeCell ref="H147:I147"/>
    <mergeCell ref="A149:K150"/>
  </mergeCells>
  <pageMargins left="0.78749999999999998" right="0.78749999999999998" top="1.0527777777777778" bottom="1.0527777777777778" header="0.78749999999999998" footer="0.78749999999999998"/>
  <pageSetup paperSize="9" scale="14" firstPageNumber="0" orientation="landscape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BFD5D-7295-394D-A1EB-6E11CD7700D1}">
  <sheetPr>
    <pageSetUpPr fitToPage="1"/>
  </sheetPr>
  <dimension ref="A1:G48"/>
  <sheetViews>
    <sheetView tabSelected="1" zoomScaleNormal="100" workbookViewId="0">
      <pane xSplit="2" ySplit="2" topLeftCell="C3" activePane="bottomRight" state="frozen"/>
      <selection activeCell="B10" sqref="B10"/>
      <selection pane="topRight" activeCell="B10" sqref="B10"/>
      <selection pane="bottomLeft" activeCell="B10" sqref="B10"/>
      <selection pane="bottomRight" sqref="A1:G47"/>
    </sheetView>
  </sheetViews>
  <sheetFormatPr baseColWidth="10" defaultColWidth="9.1640625" defaultRowHeight="15"/>
  <cols>
    <col min="1" max="1" width="6.6640625" style="3" bestFit="1" customWidth="1"/>
    <col min="2" max="2" width="40.5" style="3" customWidth="1"/>
    <col min="3" max="3" width="10" style="3" bestFit="1" customWidth="1"/>
    <col min="4" max="4" width="12.33203125" style="3" bestFit="1" customWidth="1"/>
    <col min="5" max="5" width="12.5" style="3" bestFit="1" customWidth="1"/>
    <col min="6" max="6" width="13.5" style="3" bestFit="1" customWidth="1"/>
    <col min="7" max="7" width="12.1640625" style="3" bestFit="1" customWidth="1"/>
    <col min="8" max="16384" width="9.1640625" style="3"/>
  </cols>
  <sheetData>
    <row r="1" spans="1:7" ht="22.5" customHeight="1">
      <c r="A1" s="789" t="s">
        <v>223</v>
      </c>
      <c r="B1" s="789"/>
      <c r="C1" s="789"/>
      <c r="D1" s="789"/>
      <c r="E1" s="789"/>
      <c r="G1" s="3" t="s">
        <v>672</v>
      </c>
    </row>
    <row r="2" spans="1:7" ht="48">
      <c r="A2" s="40" t="s">
        <v>62</v>
      </c>
      <c r="B2" s="40" t="s">
        <v>154</v>
      </c>
      <c r="C2" s="40" t="s">
        <v>1101</v>
      </c>
      <c r="D2" s="40" t="s">
        <v>219</v>
      </c>
      <c r="E2" s="40" t="s">
        <v>220</v>
      </c>
      <c r="F2" s="40" t="s">
        <v>222</v>
      </c>
      <c r="G2" s="40" t="s">
        <v>221</v>
      </c>
    </row>
    <row r="3" spans="1:7" ht="16">
      <c r="A3" s="127" t="s">
        <v>115</v>
      </c>
      <c r="B3" s="128" t="s">
        <v>155</v>
      </c>
      <c r="C3" s="128"/>
      <c r="D3" s="128"/>
      <c r="E3" s="129">
        <v>3000</v>
      </c>
      <c r="F3" s="129">
        <v>0</v>
      </c>
      <c r="G3" s="129">
        <f>SUM(E3:F3)</f>
        <v>3000</v>
      </c>
    </row>
    <row r="4" spans="1:7" ht="16">
      <c r="A4" s="130">
        <v>1</v>
      </c>
      <c r="B4" s="131" t="s">
        <v>156</v>
      </c>
      <c r="C4" s="131"/>
      <c r="D4" s="131"/>
      <c r="E4" s="132">
        <f>SUM(E3)</f>
        <v>3000</v>
      </c>
      <c r="F4" s="132">
        <f>SUM(F3)</f>
        <v>0</v>
      </c>
      <c r="G4" s="132">
        <f>SUM(G3)</f>
        <v>3000</v>
      </c>
    </row>
    <row r="5" spans="1:7" ht="16">
      <c r="A5" s="127" t="s">
        <v>157</v>
      </c>
      <c r="B5" s="128" t="s">
        <v>355</v>
      </c>
      <c r="C5" s="148">
        <f>12*12</f>
        <v>144</v>
      </c>
      <c r="D5" s="152">
        <v>24</v>
      </c>
      <c r="E5" s="129">
        <f>C5*D5</f>
        <v>3456</v>
      </c>
      <c r="F5" s="129"/>
      <c r="G5" s="129">
        <f t="shared" ref="G5:G8" si="0">SUM(E5:F5)</f>
        <v>3456</v>
      </c>
    </row>
    <row r="6" spans="1:7" ht="16">
      <c r="A6" s="127" t="s">
        <v>158</v>
      </c>
      <c r="B6" s="5" t="s">
        <v>982</v>
      </c>
      <c r="C6" s="4">
        <f>38000/1.5*1.2</f>
        <v>30399.999999999996</v>
      </c>
      <c r="D6" s="153">
        <v>24</v>
      </c>
      <c r="E6" s="129">
        <f>C6*D6</f>
        <v>729599.99999999988</v>
      </c>
      <c r="F6" s="129">
        <f>E6*$E$47</f>
        <v>218879.99999999997</v>
      </c>
      <c r="G6" s="129">
        <f t="shared" si="0"/>
        <v>948479.99999999988</v>
      </c>
    </row>
    <row r="7" spans="1:7" ht="16">
      <c r="A7" s="127" t="s">
        <v>159</v>
      </c>
      <c r="B7" s="31" t="s">
        <v>669</v>
      </c>
      <c r="C7" s="32">
        <f>36*72*6</f>
        <v>15552</v>
      </c>
      <c r="D7" s="219">
        <f>E7/C7</f>
        <v>7.1373456790123457</v>
      </c>
      <c r="E7" s="220">
        <f>18500*6</f>
        <v>111000</v>
      </c>
      <c r="F7" s="220">
        <f>E7</f>
        <v>111000</v>
      </c>
      <c r="G7" s="220">
        <f t="shared" si="0"/>
        <v>222000</v>
      </c>
    </row>
    <row r="8" spans="1:7" ht="32">
      <c r="A8" s="127" t="s">
        <v>160</v>
      </c>
      <c r="B8" s="31" t="s">
        <v>668</v>
      </c>
      <c r="C8" s="32"/>
      <c r="D8" s="219"/>
      <c r="E8" s="220">
        <v>10000</v>
      </c>
      <c r="F8" s="220"/>
      <c r="G8" s="220">
        <f t="shared" si="0"/>
        <v>10000</v>
      </c>
    </row>
    <row r="9" spans="1:7" ht="16">
      <c r="A9" s="130" t="s">
        <v>161</v>
      </c>
      <c r="B9" s="124" t="s">
        <v>162</v>
      </c>
      <c r="C9" s="147">
        <f>SUM(C5:C6)</f>
        <v>30543.999999999996</v>
      </c>
      <c r="D9" s="147"/>
      <c r="E9" s="132">
        <f>SUM(E5:E8)</f>
        <v>854055.99999999988</v>
      </c>
      <c r="F9" s="132">
        <f>SUM(F5:F8)</f>
        <v>329880</v>
      </c>
      <c r="G9" s="132">
        <f>SUM(G5:G8)</f>
        <v>1183936</v>
      </c>
    </row>
    <row r="10" spans="1:7" ht="16">
      <c r="A10" s="127" t="s">
        <v>163</v>
      </c>
      <c r="B10" s="5" t="s">
        <v>356</v>
      </c>
      <c r="C10" s="4">
        <v>1000</v>
      </c>
      <c r="D10" s="152">
        <v>20</v>
      </c>
      <c r="E10" s="129">
        <f>C10*D10</f>
        <v>20000</v>
      </c>
      <c r="F10" s="133">
        <f>E10*$E$47</f>
        <v>6000</v>
      </c>
      <c r="G10" s="129">
        <f>SUM(E10:F10)*'0_Допущения'!C16</f>
        <v>26000</v>
      </c>
    </row>
    <row r="11" spans="1:7" ht="16">
      <c r="A11" s="83" t="s">
        <v>164</v>
      </c>
      <c r="B11" s="31" t="s">
        <v>274</v>
      </c>
      <c r="C11" s="32">
        <f>1300/2</f>
        <v>650</v>
      </c>
      <c r="D11" s="222">
        <v>25</v>
      </c>
      <c r="E11" s="129">
        <f>C11*D11</f>
        <v>16250</v>
      </c>
      <c r="F11" s="223">
        <f>10000/2</f>
        <v>5000</v>
      </c>
      <c r="G11" s="129">
        <f>SUM(E11:F11)*'0_Допущения'!C17</f>
        <v>21250</v>
      </c>
    </row>
    <row r="12" spans="1:7" ht="16">
      <c r="A12" s="127" t="s">
        <v>359</v>
      </c>
      <c r="B12" s="31" t="s">
        <v>357</v>
      </c>
      <c r="C12" s="32"/>
      <c r="D12" s="222"/>
      <c r="E12" s="220">
        <v>10000</v>
      </c>
      <c r="F12" s="223" t="s">
        <v>287</v>
      </c>
      <c r="G12" s="129">
        <f t="shared" ref="G12:G37" si="1">SUM(E12:F12)</f>
        <v>10000</v>
      </c>
    </row>
    <row r="13" spans="1:7" ht="16">
      <c r="A13" s="83" t="s">
        <v>360</v>
      </c>
      <c r="B13" s="31" t="s">
        <v>339</v>
      </c>
      <c r="C13" s="32"/>
      <c r="D13" s="222"/>
      <c r="E13" s="220">
        <f>21778/2</f>
        <v>10889</v>
      </c>
      <c r="F13" s="223">
        <f>7000/2</f>
        <v>3500</v>
      </c>
      <c r="G13" s="129">
        <f>SUM(E13:F13)*'0_Допущения'!C18</f>
        <v>14389</v>
      </c>
    </row>
    <row r="14" spans="1:7" ht="16">
      <c r="A14" s="127" t="s">
        <v>361</v>
      </c>
      <c r="B14" s="31" t="s">
        <v>322</v>
      </c>
      <c r="C14" s="32"/>
      <c r="D14" s="222"/>
      <c r="E14" s="220">
        <v>4500</v>
      </c>
      <c r="F14" s="223">
        <v>1500</v>
      </c>
      <c r="G14" s="129">
        <f>SUM(E14:F14)*'0_Допущения'!C19</f>
        <v>6000</v>
      </c>
    </row>
    <row r="15" spans="1:7" ht="16">
      <c r="A15" s="83" t="s">
        <v>362</v>
      </c>
      <c r="B15" s="31" t="s">
        <v>358</v>
      </c>
      <c r="C15" s="32"/>
      <c r="D15" s="222"/>
      <c r="E15" s="220">
        <v>10000</v>
      </c>
      <c r="F15" s="223">
        <v>0</v>
      </c>
      <c r="G15" s="129">
        <f>SUM(E15:F15)*'0_Допущения'!C20</f>
        <v>10000</v>
      </c>
    </row>
    <row r="16" spans="1:7" ht="16">
      <c r="A16" s="127" t="s">
        <v>363</v>
      </c>
      <c r="B16" s="5" t="s">
        <v>352</v>
      </c>
      <c r="C16" s="4">
        <v>3680</v>
      </c>
      <c r="D16" s="152">
        <v>0</v>
      </c>
      <c r="E16" s="133">
        <v>20000</v>
      </c>
      <c r="F16" s="133">
        <v>0</v>
      </c>
      <c r="G16" s="129">
        <f>SUM(E16:F16)*'0_Допущения'!C21</f>
        <v>20000</v>
      </c>
    </row>
    <row r="17" spans="1:7" ht="32">
      <c r="A17" s="130" t="s">
        <v>165</v>
      </c>
      <c r="B17" s="124" t="s">
        <v>166</v>
      </c>
      <c r="C17" s="147">
        <f>SUM(C10:C16)</f>
        <v>5330</v>
      </c>
      <c r="D17" s="147"/>
      <c r="E17" s="134">
        <f>SUM(E10:E16)</f>
        <v>91639</v>
      </c>
      <c r="F17" s="134">
        <f>SUM(F10:F16)</f>
        <v>16000</v>
      </c>
      <c r="G17" s="134">
        <f>SUM(G10:G16)</f>
        <v>107639</v>
      </c>
    </row>
    <row r="18" spans="1:7" ht="16">
      <c r="A18" s="127" t="s">
        <v>167</v>
      </c>
      <c r="B18" s="135" t="s">
        <v>1100</v>
      </c>
      <c r="C18" s="4">
        <v>200</v>
      </c>
      <c r="D18" s="153">
        <v>4</v>
      </c>
      <c r="E18" s="136">
        <f>C18*D18</f>
        <v>800</v>
      </c>
      <c r="F18" s="136">
        <f>E18*E47</f>
        <v>240</v>
      </c>
      <c r="G18" s="129">
        <f>SUM(E18:F18)*'0_Допущения'!C22</f>
        <v>1040</v>
      </c>
    </row>
    <row r="19" spans="1:7" ht="16">
      <c r="A19" s="127" t="s">
        <v>168</v>
      </c>
      <c r="B19" s="135" t="s">
        <v>169</v>
      </c>
      <c r="C19" s="4">
        <v>10000</v>
      </c>
      <c r="D19" s="153">
        <v>0.5</v>
      </c>
      <c r="E19" s="136">
        <f>C19*D19</f>
        <v>5000</v>
      </c>
      <c r="F19" s="136">
        <f>E19*E47</f>
        <v>1500</v>
      </c>
      <c r="G19" s="129">
        <f t="shared" si="1"/>
        <v>6500</v>
      </c>
    </row>
    <row r="20" spans="1:7" ht="16">
      <c r="A20" s="127" t="s">
        <v>1098</v>
      </c>
      <c r="B20" s="251" t="s">
        <v>1099</v>
      </c>
      <c r="C20" s="32">
        <v>3</v>
      </c>
      <c r="D20" s="219">
        <v>2443</v>
      </c>
      <c r="E20" s="692">
        <f>C20*D20</f>
        <v>7329</v>
      </c>
      <c r="F20" s="692">
        <f>E20*E47</f>
        <v>2198.6999999999998</v>
      </c>
      <c r="G20" s="129">
        <f t="shared" si="1"/>
        <v>9527.7000000000007</v>
      </c>
    </row>
    <row r="21" spans="1:7" ht="16">
      <c r="A21" s="127" t="s">
        <v>1107</v>
      </c>
      <c r="B21" s="251" t="s">
        <v>1106</v>
      </c>
      <c r="C21" s="32">
        <v>3</v>
      </c>
      <c r="D21" s="219">
        <v>60000</v>
      </c>
      <c r="E21" s="692">
        <f>C21*D21</f>
        <v>180000</v>
      </c>
      <c r="F21" s="692">
        <v>0</v>
      </c>
      <c r="G21" s="129">
        <f t="shared" si="1"/>
        <v>180000</v>
      </c>
    </row>
    <row r="22" spans="1:7" ht="16">
      <c r="A22" s="130" t="s">
        <v>170</v>
      </c>
      <c r="B22" s="124" t="s">
        <v>171</v>
      </c>
      <c r="C22" s="147">
        <f>SUM(C18:C19)</f>
        <v>10200</v>
      </c>
      <c r="D22" s="147"/>
      <c r="E22" s="134">
        <f>SUM(E18:E21)</f>
        <v>193129</v>
      </c>
      <c r="F22" s="134">
        <f>SUM(F18:F21)</f>
        <v>3938.7</v>
      </c>
      <c r="G22" s="134">
        <f>SUM(E22:F22)</f>
        <v>197067.7</v>
      </c>
    </row>
    <row r="23" spans="1:7" ht="16">
      <c r="A23" s="127" t="s">
        <v>172</v>
      </c>
      <c r="B23" s="5" t="s">
        <v>1102</v>
      </c>
      <c r="C23" s="4">
        <v>1</v>
      </c>
      <c r="D23" s="153">
        <v>18000</v>
      </c>
      <c r="E23" s="129">
        <f>C23*D23</f>
        <v>18000</v>
      </c>
      <c r="F23" s="133">
        <f>E23*E47</f>
        <v>5400</v>
      </c>
      <c r="G23" s="129">
        <f t="shared" si="1"/>
        <v>23400</v>
      </c>
    </row>
    <row r="24" spans="1:7" ht="16">
      <c r="A24" s="127" t="s">
        <v>173</v>
      </c>
      <c r="B24" s="5" t="s">
        <v>1103</v>
      </c>
      <c r="C24" s="4">
        <f>150*6*1.25</f>
        <v>1125</v>
      </c>
      <c r="D24" s="153">
        <v>2</v>
      </c>
      <c r="E24" s="129">
        <f>C24*D24</f>
        <v>2250</v>
      </c>
      <c r="F24" s="133">
        <f>E24*E47</f>
        <v>675</v>
      </c>
      <c r="G24" s="129">
        <f t="shared" si="1"/>
        <v>2925</v>
      </c>
    </row>
    <row r="25" spans="1:7" ht="16">
      <c r="A25" s="130" t="s">
        <v>174</v>
      </c>
      <c r="B25" s="124" t="s">
        <v>175</v>
      </c>
      <c r="C25" s="147">
        <f>SUM(C23:C24)</f>
        <v>1126</v>
      </c>
      <c r="D25" s="147"/>
      <c r="E25" s="134">
        <f>SUM(E23:E24)</f>
        <v>20250</v>
      </c>
      <c r="F25" s="134">
        <f>SUM(F23:F24)</f>
        <v>6075</v>
      </c>
      <c r="G25" s="134">
        <f>SUM(G23:G24)</f>
        <v>26325</v>
      </c>
    </row>
    <row r="26" spans="1:7" ht="16">
      <c r="A26" s="127" t="s">
        <v>176</v>
      </c>
      <c r="B26" s="5" t="s">
        <v>178</v>
      </c>
      <c r="C26" s="4"/>
      <c r="D26" s="153"/>
      <c r="E26" s="133">
        <v>2500</v>
      </c>
      <c r="F26" s="133">
        <v>0</v>
      </c>
      <c r="G26" s="129">
        <f t="shared" si="1"/>
        <v>2500</v>
      </c>
    </row>
    <row r="27" spans="1:7" ht="16">
      <c r="A27" s="127" t="s">
        <v>177</v>
      </c>
      <c r="B27" s="31" t="s">
        <v>1215</v>
      </c>
      <c r="C27" s="32">
        <v>14</v>
      </c>
      <c r="D27" s="219">
        <v>12500</v>
      </c>
      <c r="E27" s="223">
        <f>D27*C27</f>
        <v>175000</v>
      </c>
      <c r="F27" s="133">
        <v>0</v>
      </c>
      <c r="G27" s="129">
        <f t="shared" si="1"/>
        <v>175000</v>
      </c>
    </row>
    <row r="28" spans="1:7" ht="16">
      <c r="A28" s="127" t="s">
        <v>179</v>
      </c>
      <c r="B28" s="5" t="s">
        <v>1105</v>
      </c>
      <c r="C28" s="4"/>
      <c r="D28" s="153"/>
      <c r="E28" s="133">
        <v>100</v>
      </c>
      <c r="F28" s="133">
        <v>35000</v>
      </c>
      <c r="G28" s="129">
        <f t="shared" si="1"/>
        <v>35100</v>
      </c>
    </row>
    <row r="29" spans="1:7" ht="16">
      <c r="A29" s="127" t="s">
        <v>180</v>
      </c>
      <c r="B29" s="5" t="s">
        <v>181</v>
      </c>
      <c r="C29" s="4"/>
      <c r="D29" s="153"/>
      <c r="E29" s="133">
        <v>5000</v>
      </c>
      <c r="F29" s="133">
        <v>0</v>
      </c>
      <c r="G29" s="129">
        <f t="shared" si="1"/>
        <v>5000</v>
      </c>
    </row>
    <row r="30" spans="1:7" ht="32">
      <c r="A30" s="127" t="s">
        <v>1092</v>
      </c>
      <c r="B30" s="5" t="s">
        <v>364</v>
      </c>
      <c r="C30" s="4"/>
      <c r="D30" s="153"/>
      <c r="E30" s="133">
        <v>3000</v>
      </c>
      <c r="F30" s="133">
        <v>0</v>
      </c>
      <c r="G30" s="129">
        <f t="shared" si="1"/>
        <v>3000</v>
      </c>
    </row>
    <row r="31" spans="1:7" ht="16">
      <c r="A31" s="127" t="s">
        <v>1093</v>
      </c>
      <c r="B31" s="31" t="s">
        <v>1094</v>
      </c>
      <c r="C31" s="32"/>
      <c r="D31" s="219"/>
      <c r="E31" s="223">
        <f>'5-3_Скв-ны'!C3/1.2/1000/2</f>
        <v>58120.75</v>
      </c>
      <c r="F31" s="133">
        <v>0</v>
      </c>
      <c r="G31" s="129">
        <f t="shared" si="1"/>
        <v>58120.75</v>
      </c>
    </row>
    <row r="32" spans="1:7" ht="16">
      <c r="A32" s="127" t="s">
        <v>1095</v>
      </c>
      <c r="B32" s="31" t="s">
        <v>869</v>
      </c>
      <c r="C32" s="32"/>
      <c r="D32" s="219"/>
      <c r="E32" s="223">
        <f>'5-3_Скв-ны'!C19/1.2/1000</f>
        <v>40837</v>
      </c>
      <c r="F32" s="133">
        <v>0</v>
      </c>
      <c r="G32" s="129">
        <f t="shared" si="1"/>
        <v>40837</v>
      </c>
    </row>
    <row r="33" spans="1:7" ht="16">
      <c r="A33" s="127" t="s">
        <v>1104</v>
      </c>
      <c r="B33" s="31" t="s">
        <v>1216</v>
      </c>
      <c r="C33" s="32">
        <v>4</v>
      </c>
      <c r="D33" s="219">
        <v>5500</v>
      </c>
      <c r="E33" s="223">
        <f>C33*D33</f>
        <v>22000</v>
      </c>
      <c r="F33" s="133">
        <v>0</v>
      </c>
      <c r="G33" s="129">
        <f t="shared" si="1"/>
        <v>22000</v>
      </c>
    </row>
    <row r="34" spans="1:7" ht="16">
      <c r="A34" s="127" t="s">
        <v>1109</v>
      </c>
      <c r="B34" s="31" t="s">
        <v>1213</v>
      </c>
      <c r="C34" s="32"/>
      <c r="D34" s="219"/>
      <c r="E34" s="223">
        <f>477000/3*1.4</f>
        <v>222600</v>
      </c>
      <c r="F34" s="133">
        <v>0</v>
      </c>
      <c r="G34" s="129">
        <f t="shared" si="1"/>
        <v>222600</v>
      </c>
    </row>
    <row r="35" spans="1:7" ht="48">
      <c r="A35" s="130" t="s">
        <v>182</v>
      </c>
      <c r="B35" s="124" t="s">
        <v>183</v>
      </c>
      <c r="C35" s="147"/>
      <c r="D35" s="147"/>
      <c r="E35" s="134">
        <f>SUM(E26:E34)</f>
        <v>529157.75</v>
      </c>
      <c r="F35" s="134">
        <f>SUM(F26:F34)</f>
        <v>35000</v>
      </c>
      <c r="G35" s="134">
        <f>SUM(G26:G34)</f>
        <v>564157.75</v>
      </c>
    </row>
    <row r="36" spans="1:7" ht="16">
      <c r="A36" s="127" t="s">
        <v>184</v>
      </c>
      <c r="B36" s="5" t="s">
        <v>224</v>
      </c>
      <c r="C36" s="4">
        <f>15%*'20-2_ЗиВН'!B3</f>
        <v>45000</v>
      </c>
      <c r="D36" s="195">
        <v>0.28000000000000003</v>
      </c>
      <c r="E36" s="133">
        <f>C36*D36</f>
        <v>12600.000000000002</v>
      </c>
      <c r="F36" s="133">
        <v>0</v>
      </c>
      <c r="G36" s="129">
        <f t="shared" si="1"/>
        <v>12600.000000000002</v>
      </c>
    </row>
    <row r="37" spans="1:7" ht="16">
      <c r="A37" s="127" t="s">
        <v>185</v>
      </c>
      <c r="B37" s="5" t="s">
        <v>286</v>
      </c>
      <c r="C37" s="4">
        <f>(300+330)*2</f>
        <v>1260</v>
      </c>
      <c r="D37" s="153">
        <v>2.6</v>
      </c>
      <c r="E37" s="133">
        <f>C37*D37</f>
        <v>3276</v>
      </c>
      <c r="F37" s="133">
        <v>0</v>
      </c>
      <c r="G37" s="129">
        <f t="shared" si="1"/>
        <v>3276</v>
      </c>
    </row>
    <row r="38" spans="1:7" ht="32">
      <c r="A38" s="130" t="s">
        <v>186</v>
      </c>
      <c r="B38" s="124" t="s">
        <v>187</v>
      </c>
      <c r="C38" s="147">
        <f>SUM(C36:C37)</f>
        <v>46260</v>
      </c>
      <c r="D38" s="147"/>
      <c r="E38" s="134">
        <f>SUM(E36:E37)</f>
        <v>15876.000000000002</v>
      </c>
      <c r="F38" s="134">
        <f>SUM(F36:F37)</f>
        <v>0</v>
      </c>
      <c r="G38" s="134">
        <f>SUM(G36:G37)</f>
        <v>15876.000000000002</v>
      </c>
    </row>
    <row r="39" spans="1:7" ht="32">
      <c r="A39" s="130" t="s">
        <v>188</v>
      </c>
      <c r="B39" s="124" t="s">
        <v>189</v>
      </c>
      <c r="C39" s="149">
        <v>0.03</v>
      </c>
      <c r="D39" s="149"/>
      <c r="E39" s="134">
        <f>C39*(E38+E35+E25+E22+E17+E9+E4)</f>
        <v>51213.232499999998</v>
      </c>
      <c r="F39" s="134">
        <v>0</v>
      </c>
      <c r="G39" s="134">
        <f t="shared" ref="G39:G44" si="2">SUM(E39:F39)</f>
        <v>51213.232499999998</v>
      </c>
    </row>
    <row r="40" spans="1:7" ht="16">
      <c r="A40" s="130" t="s">
        <v>190</v>
      </c>
      <c r="B40" s="124" t="s">
        <v>674</v>
      </c>
      <c r="C40" s="149">
        <v>0.1</v>
      </c>
      <c r="D40" s="149"/>
      <c r="E40" s="134">
        <f>C40*(E39+E38+E35+E25+E22+E17+E9+E4)</f>
        <v>175832.09825000001</v>
      </c>
      <c r="F40" s="134">
        <v>0</v>
      </c>
      <c r="G40" s="134">
        <f>SUM(E40:F40)</f>
        <v>175832.09825000001</v>
      </c>
    </row>
    <row r="41" spans="1:7" ht="32">
      <c r="A41" s="130" t="s">
        <v>191</v>
      </c>
      <c r="B41" s="124" t="s">
        <v>231</v>
      </c>
      <c r="C41" s="150">
        <v>0.01</v>
      </c>
      <c r="D41" s="150"/>
      <c r="E41" s="134">
        <f>C41*(E38+E35+E25+E22+E17+E9+E4)</f>
        <v>17071.077499999999</v>
      </c>
      <c r="F41" s="134">
        <v>0</v>
      </c>
      <c r="G41" s="134">
        <f t="shared" si="2"/>
        <v>17071.077499999999</v>
      </c>
    </row>
    <row r="42" spans="1:7" ht="16">
      <c r="A42" s="130" t="s">
        <v>192</v>
      </c>
      <c r="B42" s="124" t="s">
        <v>193</v>
      </c>
      <c r="C42" s="147"/>
      <c r="D42" s="147"/>
      <c r="E42" s="134">
        <v>0</v>
      </c>
      <c r="F42" s="134">
        <v>0</v>
      </c>
      <c r="G42" s="134">
        <f t="shared" si="2"/>
        <v>0</v>
      </c>
    </row>
    <row r="43" spans="1:7" ht="16">
      <c r="A43" s="127" t="s">
        <v>194</v>
      </c>
      <c r="B43" s="5" t="s">
        <v>195</v>
      </c>
      <c r="C43" s="5"/>
      <c r="D43" s="5"/>
      <c r="E43" s="133">
        <f>'4_ПСД'!D14</f>
        <v>102083.33333333331</v>
      </c>
      <c r="F43" s="133"/>
      <c r="G43" s="129">
        <f t="shared" si="2"/>
        <v>102083.33333333331</v>
      </c>
    </row>
    <row r="44" spans="1:7" ht="16">
      <c r="A44" s="127" t="s">
        <v>196</v>
      </c>
      <c r="B44" s="5" t="s">
        <v>197</v>
      </c>
      <c r="C44" s="41">
        <v>0.03</v>
      </c>
      <c r="D44" s="5"/>
      <c r="E44" s="133">
        <f>C44*(E38+E35+E25+E22+E17+E9+E4)</f>
        <v>51213.232499999998</v>
      </c>
      <c r="F44" s="133"/>
      <c r="G44" s="129">
        <f t="shared" si="2"/>
        <v>51213.232499999998</v>
      </c>
    </row>
    <row r="45" spans="1:7" ht="32">
      <c r="A45" s="130" t="s">
        <v>198</v>
      </c>
      <c r="B45" s="124" t="s">
        <v>199</v>
      </c>
      <c r="C45" s="147"/>
      <c r="D45" s="147"/>
      <c r="E45" s="134">
        <f>SUM(E43:E44)</f>
        <v>153296.5658333333</v>
      </c>
      <c r="F45" s="134">
        <f>SUM(F43:F44)</f>
        <v>0</v>
      </c>
      <c r="G45" s="134">
        <f>SUM(G43:G44)</f>
        <v>153296.5658333333</v>
      </c>
    </row>
    <row r="46" spans="1:7" ht="16">
      <c r="A46" s="2"/>
      <c r="B46" s="138" t="s">
        <v>200</v>
      </c>
      <c r="C46" s="138"/>
      <c r="D46" s="138"/>
      <c r="E46" s="139">
        <f>E45+E42+E41+E40+E39+E38+E35+E25+E22+E17+E9+E4</f>
        <v>2104520.7240833333</v>
      </c>
      <c r="F46" s="139">
        <f>F45+F42+F41+F40+F39+F38+F35+F25+F22+F17+F9+F4</f>
        <v>390893.7</v>
      </c>
      <c r="G46" s="139">
        <f>G45+G42+G41+G40+G39+G38+G35+G25+G22+G17+G9+G4</f>
        <v>2495414.4240833335</v>
      </c>
    </row>
    <row r="47" spans="1:7" ht="25" customHeight="1">
      <c r="B47" s="3" t="s">
        <v>1212</v>
      </c>
      <c r="E47" s="49">
        <v>0.3</v>
      </c>
    </row>
    <row r="48" spans="1:7" ht="16">
      <c r="B48" s="3" t="s">
        <v>983</v>
      </c>
      <c r="C48" s="402">
        <f>C5+C6+C10+C11+C13+C15</f>
        <v>32193.999999999996</v>
      </c>
    </row>
  </sheetData>
  <mergeCells count="1">
    <mergeCell ref="A1:E1"/>
  </mergeCells>
  <pageMargins left="0.7" right="0.7" top="0.75" bottom="0.75" header="0.3" footer="0.3"/>
  <pageSetup paperSize="9" scale="54" orientation="landscape" r:id="rId1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2A200-3315-0740-91CC-E0B41B5730B2}">
  <dimension ref="A1:F11"/>
  <sheetViews>
    <sheetView zoomScale="130" zoomScaleNormal="130" workbookViewId="0">
      <selection activeCell="D8" sqref="D8"/>
    </sheetView>
  </sheetViews>
  <sheetFormatPr baseColWidth="10" defaultColWidth="8.83203125" defaultRowHeight="15"/>
  <cols>
    <col min="1" max="1" width="6.1640625" bestFit="1" customWidth="1"/>
    <col min="2" max="2" width="27.33203125" customWidth="1"/>
    <col min="3" max="4" width="15.33203125" customWidth="1"/>
    <col min="5" max="5" width="14.5" customWidth="1"/>
    <col min="6" max="6" width="33.6640625" bestFit="1" customWidth="1"/>
  </cols>
  <sheetData>
    <row r="1" spans="1:6" ht="18" customHeight="1">
      <c r="A1" s="877" t="s">
        <v>1248</v>
      </c>
      <c r="B1" s="878"/>
      <c r="C1" s="878"/>
      <c r="D1" s="879"/>
      <c r="E1" s="608" t="s">
        <v>1230</v>
      </c>
      <c r="F1" s="531"/>
    </row>
    <row r="2" spans="1:6" ht="78.75" customHeight="1">
      <c r="A2" s="57" t="s">
        <v>18</v>
      </c>
      <c r="B2" s="58" t="s">
        <v>439</v>
      </c>
      <c r="C2" s="57" t="s">
        <v>440</v>
      </c>
      <c r="D2" s="57" t="s">
        <v>441</v>
      </c>
      <c r="E2" s="57" t="s">
        <v>442</v>
      </c>
      <c r="F2" s="57" t="s">
        <v>443</v>
      </c>
    </row>
    <row r="3" spans="1:6" ht="32">
      <c r="A3" s="254">
        <v>1</v>
      </c>
      <c r="B3" s="251" t="s">
        <v>444</v>
      </c>
      <c r="C3" s="259">
        <f>'24-1_Газ_Склад'!O3</f>
        <v>134.75636050021561</v>
      </c>
      <c r="D3" s="259">
        <f>E3/'0_Допущения'!C9</f>
        <v>17.150809518209261</v>
      </c>
      <c r="E3" s="252">
        <f>'24-1_Газ_Склад'!D3</f>
        <v>135834.41138421735</v>
      </c>
      <c r="F3" s="260"/>
    </row>
    <row r="4" spans="1:6" ht="32">
      <c r="A4" s="254">
        <v>2</v>
      </c>
      <c r="B4" s="251" t="s">
        <v>984</v>
      </c>
      <c r="C4" s="259">
        <f>'26_Отопление'!$D$22*0</f>
        <v>0</v>
      </c>
      <c r="D4" s="259">
        <f>'25_Пар'!J8</f>
        <v>1684.5781029934114</v>
      </c>
      <c r="E4" s="252">
        <f>'25_Пар'!K8</f>
        <v>13621756.579930419</v>
      </c>
      <c r="F4" s="251"/>
    </row>
    <row r="5" spans="1:6" ht="23" customHeight="1">
      <c r="A5" s="216"/>
      <c r="B5" s="606" t="s">
        <v>36</v>
      </c>
      <c r="C5" s="607">
        <f>SUM(C3:C4)</f>
        <v>134.75636050021561</v>
      </c>
      <c r="D5" s="607">
        <f>SUM(D3:D4)</f>
        <v>1701.7289125116208</v>
      </c>
      <c r="E5" s="607">
        <f>SUM(E3:E4)</f>
        <v>13757590.991314637</v>
      </c>
      <c r="F5" s="33"/>
    </row>
    <row r="7" spans="1:6" ht="32">
      <c r="F7" s="261" t="s">
        <v>445</v>
      </c>
    </row>
    <row r="8" spans="1:6">
      <c r="F8" s="261">
        <v>7900</v>
      </c>
    </row>
    <row r="10" spans="1:6" ht="32">
      <c r="F10" s="261" t="s">
        <v>446</v>
      </c>
    </row>
    <row r="11" spans="1:6">
      <c r="F11" s="262">
        <f>F8/7000</f>
        <v>1.1285714285714286</v>
      </c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9FC41-0807-1848-8116-B9149B1C1EA7}">
  <dimension ref="A1:R15"/>
  <sheetViews>
    <sheetView topLeftCell="B1" workbookViewId="0">
      <selection activeCell="J15" sqref="J15"/>
    </sheetView>
  </sheetViews>
  <sheetFormatPr baseColWidth="10" defaultColWidth="8.83203125" defaultRowHeight="15"/>
  <cols>
    <col min="1" max="1" width="4.1640625" bestFit="1" customWidth="1"/>
    <col min="2" max="2" width="13.1640625" bestFit="1" customWidth="1"/>
    <col min="3" max="3" width="11.5" bestFit="1" customWidth="1"/>
    <col min="4" max="4" width="8.6640625" bestFit="1" customWidth="1"/>
    <col min="5" max="5" width="14.1640625" bestFit="1" customWidth="1"/>
    <col min="6" max="6" width="10.5" bestFit="1" customWidth="1"/>
    <col min="7" max="7" width="15" bestFit="1" customWidth="1"/>
    <col min="8" max="8" width="8.83203125" bestFit="1" customWidth="1"/>
    <col min="9" max="9" width="8.83203125" customWidth="1"/>
    <col min="10" max="10" width="10.83203125" bestFit="1" customWidth="1"/>
    <col min="11" max="11" width="10.5" bestFit="1" customWidth="1"/>
    <col min="12" max="12" width="11.5" bestFit="1" customWidth="1"/>
    <col min="13" max="13" width="11.5" customWidth="1"/>
    <col min="14" max="14" width="14.1640625" customWidth="1"/>
    <col min="15" max="15" width="14.1640625" bestFit="1" customWidth="1"/>
    <col min="16" max="16" width="15.6640625" bestFit="1" customWidth="1"/>
    <col min="17" max="17" width="12.1640625" bestFit="1" customWidth="1"/>
    <col min="18" max="18" width="15.6640625" customWidth="1"/>
  </cols>
  <sheetData>
    <row r="1" spans="1:18" ht="24" customHeight="1">
      <c r="A1" s="880" t="s">
        <v>1249</v>
      </c>
      <c r="B1" s="849"/>
      <c r="C1" s="849"/>
      <c r="D1" s="849"/>
      <c r="E1" s="849"/>
      <c r="F1" s="849"/>
      <c r="G1" s="849"/>
      <c r="Q1" s="373" t="s">
        <v>147</v>
      </c>
      <c r="R1" s="763" t="s">
        <v>1231</v>
      </c>
    </row>
    <row r="2" spans="1:18" ht="131.25" customHeight="1">
      <c r="A2" s="57" t="s">
        <v>18</v>
      </c>
      <c r="B2" s="58" t="s">
        <v>447</v>
      </c>
      <c r="C2" s="57" t="s">
        <v>448</v>
      </c>
      <c r="D2" s="57" t="s">
        <v>449</v>
      </c>
      <c r="E2" s="57" t="s">
        <v>42</v>
      </c>
      <c r="F2" s="57" t="s">
        <v>450</v>
      </c>
      <c r="G2" s="57" t="s">
        <v>451</v>
      </c>
      <c r="H2" s="57" t="s">
        <v>452</v>
      </c>
      <c r="I2" s="57" t="s">
        <v>453</v>
      </c>
      <c r="J2" s="57" t="s">
        <v>454</v>
      </c>
      <c r="K2" s="57" t="s">
        <v>455</v>
      </c>
      <c r="L2" s="57" t="s">
        <v>913</v>
      </c>
      <c r="M2" s="57" t="s">
        <v>914</v>
      </c>
      <c r="N2" s="57" t="s">
        <v>915</v>
      </c>
      <c r="O2" s="57" t="s">
        <v>456</v>
      </c>
      <c r="P2" s="57" t="s">
        <v>916</v>
      </c>
      <c r="Q2" s="57" t="s">
        <v>457</v>
      </c>
      <c r="R2" s="57" t="s">
        <v>458</v>
      </c>
    </row>
    <row r="3" spans="1:18" ht="51" customHeight="1">
      <c r="A3" s="254">
        <v>1</v>
      </c>
      <c r="B3" s="254" t="s">
        <v>912</v>
      </c>
      <c r="C3" s="259">
        <f>O3</f>
        <v>134.75636050021561</v>
      </c>
      <c r="D3" s="252">
        <f>O3*24*42+Q3*323*24</f>
        <v>135834.41138421735</v>
      </c>
      <c r="E3" s="252" t="s">
        <v>459</v>
      </c>
      <c r="F3" s="263">
        <v>1400</v>
      </c>
      <c r="G3" s="264">
        <v>77.3</v>
      </c>
      <c r="H3" s="264">
        <v>4</v>
      </c>
      <c r="I3" s="264">
        <v>1.2</v>
      </c>
      <c r="J3" s="264">
        <v>4</v>
      </c>
      <c r="K3" s="265">
        <v>0.05</v>
      </c>
      <c r="L3" s="266">
        <f>F3/G3/H3</f>
        <v>4.5278137128072444</v>
      </c>
      <c r="M3" s="266">
        <f>I3*J3*(1+K3)</f>
        <v>5.04</v>
      </c>
      <c r="N3" s="267">
        <v>30000</v>
      </c>
      <c r="O3" s="267">
        <f>N3*L3/42/24</f>
        <v>134.75636050021561</v>
      </c>
      <c r="P3" s="263">
        <v>0</v>
      </c>
      <c r="Q3" s="267">
        <f>P3*L3/323/24*R3</f>
        <v>0</v>
      </c>
      <c r="R3" s="268">
        <v>0.5</v>
      </c>
    </row>
    <row r="4" spans="1:18">
      <c r="M4" s="269"/>
    </row>
    <row r="15" spans="1:18">
      <c r="J15">
        <f ca="1">+J15:K15</f>
        <v>0</v>
      </c>
    </row>
  </sheetData>
  <mergeCells count="1">
    <mergeCell ref="A1:G1"/>
  </mergeCells>
  <pageMargins left="0.7" right="0.7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9DEA4-3FEF-1049-AB5D-9298A2AFB2D6}">
  <dimension ref="A1:P86"/>
  <sheetViews>
    <sheetView workbookViewId="0">
      <selection activeCell="L24" sqref="L24"/>
    </sheetView>
  </sheetViews>
  <sheetFormatPr baseColWidth="10" defaultColWidth="9.1640625" defaultRowHeight="14"/>
  <cols>
    <col min="1" max="1" width="7.1640625" style="542" bestFit="1" customWidth="1"/>
    <col min="2" max="2" width="52.33203125" style="542" bestFit="1" customWidth="1"/>
    <col min="3" max="3" width="11.5" style="542" bestFit="1" customWidth="1"/>
    <col min="4" max="4" width="18.6640625" style="542" customWidth="1"/>
    <col min="5" max="5" width="9.1640625" style="542"/>
    <col min="6" max="6" width="3.83203125" style="542" bestFit="1" customWidth="1"/>
    <col min="7" max="7" width="11.83203125" style="542" bestFit="1" customWidth="1"/>
    <col min="8" max="8" width="7.6640625" style="542" bestFit="1" customWidth="1"/>
    <col min="9" max="9" width="11.83203125" style="542" customWidth="1"/>
    <col min="10" max="10" width="10" style="542" bestFit="1" customWidth="1"/>
    <col min="11" max="11" width="6.1640625" style="542" bestFit="1" customWidth="1"/>
    <col min="12" max="12" width="12.83203125" style="542" bestFit="1" customWidth="1"/>
    <col min="13" max="13" width="12" style="542" customWidth="1"/>
    <col min="14" max="14" width="12.1640625" style="542" customWidth="1"/>
    <col min="15" max="15" width="12.6640625" style="542" bestFit="1" customWidth="1"/>
    <col min="16" max="16" width="18" style="542" customWidth="1"/>
    <col min="17" max="16384" width="9.1640625" style="542"/>
  </cols>
  <sheetData>
    <row r="1" spans="1:16" ht="32.25" customHeight="1">
      <c r="A1" s="881" t="s">
        <v>829</v>
      </c>
      <c r="B1" s="881"/>
      <c r="C1" s="764" t="s">
        <v>289</v>
      </c>
      <c r="D1" s="765" t="s">
        <v>1232</v>
      </c>
      <c r="F1" s="880" t="s">
        <v>805</v>
      </c>
      <c r="G1" s="849"/>
      <c r="H1" s="849"/>
      <c r="I1" s="849"/>
      <c r="J1" s="849"/>
      <c r="K1" s="849"/>
      <c r="L1" s="849"/>
      <c r="M1" s="849"/>
      <c r="N1" s="849"/>
      <c r="O1" s="849"/>
      <c r="P1" s="849"/>
    </row>
    <row r="2" spans="1:16" ht="48">
      <c r="A2" s="543" t="s">
        <v>18</v>
      </c>
      <c r="B2" s="543" t="s">
        <v>31</v>
      </c>
      <c r="C2" s="543" t="s">
        <v>810</v>
      </c>
      <c r="D2" s="543" t="s">
        <v>32</v>
      </c>
      <c r="F2" s="382" t="s">
        <v>18</v>
      </c>
      <c r="G2" s="382" t="s">
        <v>58</v>
      </c>
      <c r="H2" s="382" t="s">
        <v>1</v>
      </c>
      <c r="I2" s="382" t="s">
        <v>902</v>
      </c>
      <c r="J2" s="382" t="s">
        <v>903</v>
      </c>
      <c r="K2" s="382" t="s">
        <v>904</v>
      </c>
      <c r="L2" s="382" t="s">
        <v>906</v>
      </c>
      <c r="M2" s="382" t="s">
        <v>905</v>
      </c>
      <c r="N2" s="382" t="s">
        <v>907</v>
      </c>
      <c r="O2" s="382" t="s">
        <v>908</v>
      </c>
      <c r="P2" s="382" t="s">
        <v>443</v>
      </c>
    </row>
    <row r="3" spans="1:16" ht="34">
      <c r="A3" s="544">
        <v>1</v>
      </c>
      <c r="B3" s="545" t="s">
        <v>833</v>
      </c>
      <c r="C3" s="544" t="s">
        <v>830</v>
      </c>
      <c r="D3" s="548">
        <f>'6_МБ_ЛК_Ку-за'!C14</f>
        <v>33750.000000000007</v>
      </c>
      <c r="F3" s="534" t="s">
        <v>806</v>
      </c>
      <c r="G3" s="535" t="s">
        <v>807</v>
      </c>
      <c r="H3" s="599" t="s">
        <v>830</v>
      </c>
      <c r="I3" s="601">
        <v>30000</v>
      </c>
      <c r="J3" s="601">
        <v>20000</v>
      </c>
      <c r="K3" s="600">
        <f>I3/J3</f>
        <v>1.5</v>
      </c>
      <c r="L3" s="536" t="s">
        <v>808</v>
      </c>
      <c r="M3" s="538">
        <v>392</v>
      </c>
      <c r="N3" s="538">
        <f>M3/K3</f>
        <v>261.33333333333331</v>
      </c>
      <c r="O3" s="538">
        <f>N3*'0_Допущения'!$C$9</f>
        <v>2069759.9999999998</v>
      </c>
      <c r="P3" s="135" t="s">
        <v>909</v>
      </c>
    </row>
    <row r="4" spans="1:16" ht="15">
      <c r="A4" s="544">
        <f>A3+1</f>
        <v>2</v>
      </c>
      <c r="B4" s="545" t="s">
        <v>811</v>
      </c>
      <c r="C4" s="544" t="s">
        <v>28</v>
      </c>
      <c r="D4" s="547">
        <f>'6_МБ_ЛК_Ку-за'!D14</f>
        <v>0.48</v>
      </c>
      <c r="F4" s="539"/>
      <c r="G4" s="539"/>
      <c r="H4" s="539"/>
      <c r="I4" s="539"/>
      <c r="J4" s="539"/>
      <c r="K4" s="539"/>
      <c r="L4" s="540" t="s">
        <v>809</v>
      </c>
      <c r="M4" s="602">
        <v>470.4</v>
      </c>
      <c r="N4" s="602"/>
      <c r="O4" s="541"/>
      <c r="P4" s="135"/>
    </row>
    <row r="5" spans="1:16" ht="30">
      <c r="A5" s="544">
        <f t="shared" ref="A5:A20" si="0">A4+1</f>
        <v>3</v>
      </c>
      <c r="B5" s="545" t="s">
        <v>834</v>
      </c>
      <c r="C5" s="544" t="s">
        <v>28</v>
      </c>
      <c r="D5" s="547">
        <v>0.1</v>
      </c>
      <c r="L5" s="603" t="s">
        <v>910</v>
      </c>
      <c r="M5" s="603"/>
      <c r="N5" s="604">
        <f>D18-N3</f>
        <v>-10.0485691253526</v>
      </c>
      <c r="O5" s="603" t="s">
        <v>911</v>
      </c>
    </row>
    <row r="6" spans="1:16" ht="16">
      <c r="A6" s="544">
        <f t="shared" si="0"/>
        <v>4</v>
      </c>
      <c r="B6" s="545" t="s">
        <v>812</v>
      </c>
      <c r="C6" s="544" t="s">
        <v>28</v>
      </c>
      <c r="D6" s="547">
        <f>1-D4</f>
        <v>0.52</v>
      </c>
      <c r="L6" s="546"/>
    </row>
    <row r="7" spans="1:16" ht="16">
      <c r="A7" s="544">
        <f t="shared" si="0"/>
        <v>5</v>
      </c>
      <c r="B7" s="545" t="s">
        <v>835</v>
      </c>
      <c r="C7" s="544" t="s">
        <v>830</v>
      </c>
      <c r="D7" s="548">
        <f>D3*D4/(1-D5)</f>
        <v>18000.000000000004</v>
      </c>
      <c r="L7" s="546"/>
    </row>
    <row r="8" spans="1:16" ht="16">
      <c r="A8" s="544">
        <f t="shared" si="0"/>
        <v>6</v>
      </c>
      <c r="B8" s="545" t="s">
        <v>813</v>
      </c>
      <c r="C8" s="544" t="s">
        <v>830</v>
      </c>
      <c r="D8" s="548">
        <f>D3-D7</f>
        <v>15750.000000000004</v>
      </c>
      <c r="L8" s="546"/>
    </row>
    <row r="9" spans="1:16" ht="16">
      <c r="A9" s="544">
        <f t="shared" si="0"/>
        <v>7</v>
      </c>
      <c r="B9" s="545" t="s">
        <v>814</v>
      </c>
      <c r="C9" s="544" t="s">
        <v>815</v>
      </c>
      <c r="D9" s="548">
        <v>4200</v>
      </c>
      <c r="L9" s="546"/>
    </row>
    <row r="10" spans="1:16" ht="16">
      <c r="A10" s="544">
        <f t="shared" si="0"/>
        <v>8</v>
      </c>
      <c r="B10" s="545" t="s">
        <v>816</v>
      </c>
      <c r="C10" s="544" t="s">
        <v>817</v>
      </c>
      <c r="D10" s="548">
        <v>2256</v>
      </c>
      <c r="L10" s="546"/>
    </row>
    <row r="11" spans="1:16" ht="16">
      <c r="A11" s="544">
        <f t="shared" si="0"/>
        <v>9</v>
      </c>
      <c r="B11" s="545" t="s">
        <v>940</v>
      </c>
      <c r="C11" s="549" t="s">
        <v>818</v>
      </c>
      <c r="D11" s="544">
        <v>40</v>
      </c>
      <c r="L11" s="546"/>
    </row>
    <row r="12" spans="1:16" ht="15">
      <c r="A12" s="544">
        <f t="shared" si="0"/>
        <v>10</v>
      </c>
      <c r="B12" s="550" t="s">
        <v>819</v>
      </c>
      <c r="C12" s="544" t="s">
        <v>820</v>
      </c>
      <c r="D12" s="548">
        <f>D9*D8*(100-D11)*1000/1000/1000</f>
        <v>3969000.0000000009</v>
      </c>
    </row>
    <row r="13" spans="1:16" ht="15">
      <c r="A13" s="544">
        <f t="shared" si="0"/>
        <v>11</v>
      </c>
      <c r="B13" s="550" t="s">
        <v>821</v>
      </c>
      <c r="C13" s="544" t="s">
        <v>820</v>
      </c>
      <c r="D13" s="548">
        <f>D10*D8*1000/1000</f>
        <v>35532000.000000007</v>
      </c>
    </row>
    <row r="14" spans="1:16" ht="15">
      <c r="A14" s="544">
        <f t="shared" si="0"/>
        <v>12</v>
      </c>
      <c r="B14" s="552" t="s">
        <v>822</v>
      </c>
      <c r="C14" s="551" t="s">
        <v>820</v>
      </c>
      <c r="D14" s="553">
        <f>D12+D13</f>
        <v>39501000.000000007</v>
      </c>
    </row>
    <row r="15" spans="1:16" ht="16">
      <c r="A15" s="544">
        <f t="shared" si="0"/>
        <v>13</v>
      </c>
      <c r="B15" s="588" t="s">
        <v>823</v>
      </c>
      <c r="C15" s="589" t="s">
        <v>899</v>
      </c>
      <c r="D15" s="590">
        <f>D14/D25</f>
        <v>1194105.1995163243</v>
      </c>
    </row>
    <row r="16" spans="1:16" ht="16">
      <c r="A16" s="544">
        <f t="shared" si="0"/>
        <v>14</v>
      </c>
      <c r="B16" s="588" t="s">
        <v>896</v>
      </c>
      <c r="C16" s="589" t="s">
        <v>900</v>
      </c>
      <c r="D16" s="590">
        <f>D15/D27</f>
        <v>150.77085852478842</v>
      </c>
    </row>
    <row r="17" spans="1:12" s="575" customFormat="1" ht="15">
      <c r="A17" s="544">
        <f t="shared" si="0"/>
        <v>15</v>
      </c>
      <c r="B17" s="588" t="s">
        <v>897</v>
      </c>
      <c r="C17" s="589" t="s">
        <v>28</v>
      </c>
      <c r="D17" s="591">
        <v>0.6</v>
      </c>
    </row>
    <row r="18" spans="1:12" s="575" customFormat="1" ht="16">
      <c r="A18" s="595">
        <f t="shared" si="0"/>
        <v>16</v>
      </c>
      <c r="B18" s="596" t="s">
        <v>898</v>
      </c>
      <c r="C18" s="597" t="s">
        <v>832</v>
      </c>
      <c r="D18" s="598">
        <f>D16/D17</f>
        <v>251.28476420798071</v>
      </c>
    </row>
    <row r="19" spans="1:12" ht="16">
      <c r="A19" s="544">
        <f t="shared" si="0"/>
        <v>17</v>
      </c>
      <c r="B19" s="592" t="s">
        <v>831</v>
      </c>
      <c r="C19" s="589" t="s">
        <v>899</v>
      </c>
      <c r="D19" s="593">
        <f>D8</f>
        <v>15750.000000000004</v>
      </c>
    </row>
    <row r="20" spans="1:12" ht="16">
      <c r="A20" s="544">
        <f t="shared" si="0"/>
        <v>18</v>
      </c>
      <c r="B20" s="592" t="s">
        <v>831</v>
      </c>
      <c r="C20" s="594" t="s">
        <v>901</v>
      </c>
      <c r="D20" s="593">
        <f>D19/'0_Допущения'!C8</f>
        <v>47.727272727272741</v>
      </c>
    </row>
    <row r="21" spans="1:12">
      <c r="A21" s="882" t="s">
        <v>824</v>
      </c>
      <c r="B21" s="882"/>
      <c r="C21" s="882"/>
      <c r="D21" s="882"/>
    </row>
    <row r="22" spans="1:12" ht="16">
      <c r="A22" s="554">
        <v>1</v>
      </c>
      <c r="B22" s="884" t="s">
        <v>825</v>
      </c>
      <c r="C22" s="555" t="s">
        <v>820</v>
      </c>
      <c r="D22" s="556">
        <f>3600000000/1000/1000</f>
        <v>3600</v>
      </c>
    </row>
    <row r="23" spans="1:12" ht="16">
      <c r="A23" s="554">
        <v>2</v>
      </c>
      <c r="B23" s="884"/>
      <c r="C23" s="555" t="s">
        <v>826</v>
      </c>
      <c r="D23" s="555">
        <v>0.86</v>
      </c>
    </row>
    <row r="24" spans="1:12" ht="16">
      <c r="A24" s="554">
        <f>A23+1</f>
        <v>3</v>
      </c>
      <c r="B24" s="884" t="s">
        <v>827</v>
      </c>
      <c r="C24" s="555" t="s">
        <v>60</v>
      </c>
      <c r="D24" s="557">
        <f>D25/D22*1000</f>
        <v>9.1888888888888882</v>
      </c>
      <c r="L24" s="546"/>
    </row>
    <row r="25" spans="1:12" ht="16">
      <c r="A25" s="554">
        <f>A24+1</f>
        <v>4</v>
      </c>
      <c r="B25" s="884"/>
      <c r="C25" s="555" t="s">
        <v>820</v>
      </c>
      <c r="D25" s="558">
        <v>33.08</v>
      </c>
      <c r="L25" s="546"/>
    </row>
    <row r="26" spans="1:12" ht="16">
      <c r="A26" s="554">
        <f>A25+1</f>
        <v>5</v>
      </c>
      <c r="B26" s="559" t="s">
        <v>828</v>
      </c>
      <c r="C26" s="554" t="s">
        <v>225</v>
      </c>
      <c r="D26" s="556">
        <f>'0_Допущения'!C8</f>
        <v>330</v>
      </c>
      <c r="L26" s="546"/>
    </row>
    <row r="27" spans="1:12" s="581" customFormat="1" ht="16">
      <c r="A27" s="554">
        <f>A26+1</f>
        <v>6</v>
      </c>
      <c r="B27" s="582" t="s">
        <v>942</v>
      </c>
      <c r="C27" s="554" t="s">
        <v>218</v>
      </c>
      <c r="D27" s="556">
        <f>'0_Допущения'!C9</f>
        <v>7920</v>
      </c>
      <c r="L27" s="546"/>
    </row>
    <row r="29" spans="1:12" ht="19" customHeight="1">
      <c r="A29" s="881" t="s">
        <v>934</v>
      </c>
      <c r="B29" s="881"/>
      <c r="C29" s="764" t="s">
        <v>289</v>
      </c>
      <c r="D29" s="765" t="s">
        <v>1197</v>
      </c>
    </row>
    <row r="30" spans="1:12" ht="15">
      <c r="A30" s="543" t="s">
        <v>18</v>
      </c>
      <c r="B30" s="543" t="s">
        <v>31</v>
      </c>
      <c r="C30" s="543" t="s">
        <v>810</v>
      </c>
      <c r="D30" s="543" t="s">
        <v>32</v>
      </c>
    </row>
    <row r="31" spans="1:12" s="581" customFormat="1" ht="15">
      <c r="A31" s="544">
        <v>1</v>
      </c>
      <c r="B31" s="545" t="s">
        <v>937</v>
      </c>
      <c r="C31" s="544" t="s">
        <v>830</v>
      </c>
      <c r="D31" s="548">
        <f>'6_МБ_ЛК_Ку-за'!C13</f>
        <v>4500.0322997416024</v>
      </c>
    </row>
    <row r="32" spans="1:12" ht="15">
      <c r="A32" s="544">
        <v>2</v>
      </c>
      <c r="B32" s="545" t="s">
        <v>938</v>
      </c>
      <c r="C32" s="544" t="s">
        <v>830</v>
      </c>
      <c r="D32" s="548">
        <f>D31*D34/D33</f>
        <v>7740.0555555555557</v>
      </c>
    </row>
    <row r="33" spans="1:4" ht="15">
      <c r="A33" s="544">
        <v>3</v>
      </c>
      <c r="B33" s="545" t="s">
        <v>939</v>
      </c>
      <c r="C33" s="544" t="s">
        <v>28</v>
      </c>
      <c r="D33" s="547">
        <v>0.5</v>
      </c>
    </row>
    <row r="34" spans="1:4" ht="15">
      <c r="A34" s="544">
        <v>4</v>
      </c>
      <c r="B34" s="545" t="s">
        <v>936</v>
      </c>
      <c r="C34" s="544" t="s">
        <v>28</v>
      </c>
      <c r="D34" s="547">
        <f>'6_МБ_ЛК_Ку-за'!D13</f>
        <v>0.86</v>
      </c>
    </row>
    <row r="35" spans="1:4" ht="15">
      <c r="A35" s="544">
        <v>5</v>
      </c>
      <c r="B35" s="545" t="s">
        <v>812</v>
      </c>
      <c r="C35" s="544" t="s">
        <v>28</v>
      </c>
      <c r="D35" s="547">
        <f>1-D33</f>
        <v>0.5</v>
      </c>
    </row>
    <row r="36" spans="1:4" ht="15">
      <c r="A36" s="544">
        <v>6</v>
      </c>
      <c r="B36" s="545" t="s">
        <v>813</v>
      </c>
      <c r="C36" s="544" t="s">
        <v>830</v>
      </c>
      <c r="D36" s="548">
        <f>D32-D31</f>
        <v>3240.0232558139533</v>
      </c>
    </row>
    <row r="37" spans="1:4" ht="15">
      <c r="A37" s="544">
        <v>7</v>
      </c>
      <c r="B37" s="545" t="s">
        <v>814</v>
      </c>
      <c r="C37" s="544" t="s">
        <v>815</v>
      </c>
      <c r="D37" s="548">
        <v>4200</v>
      </c>
    </row>
    <row r="38" spans="1:4" ht="15">
      <c r="A38" s="544">
        <v>8</v>
      </c>
      <c r="B38" s="545" t="s">
        <v>816</v>
      </c>
      <c r="C38" s="544" t="s">
        <v>817</v>
      </c>
      <c r="D38" s="548">
        <v>2256</v>
      </c>
    </row>
    <row r="39" spans="1:4" ht="16">
      <c r="A39" s="544">
        <v>9</v>
      </c>
      <c r="B39" s="545" t="s">
        <v>941</v>
      </c>
      <c r="C39" s="549" t="s">
        <v>818</v>
      </c>
      <c r="D39" s="544">
        <v>40</v>
      </c>
    </row>
    <row r="40" spans="1:4" ht="15">
      <c r="A40" s="544">
        <v>10</v>
      </c>
      <c r="B40" s="550" t="s">
        <v>819</v>
      </c>
      <c r="C40" s="544" t="s">
        <v>820</v>
      </c>
      <c r="D40" s="548">
        <f>D37*D36*(100-D39)*1000/1000/1000</f>
        <v>816485.86046511622</v>
      </c>
    </row>
    <row r="41" spans="1:4" ht="15">
      <c r="A41" s="544">
        <v>11</v>
      </c>
      <c r="B41" s="550" t="s">
        <v>821</v>
      </c>
      <c r="C41" s="544" t="s">
        <v>820</v>
      </c>
      <c r="D41" s="548">
        <f>D38*D36*1000/1000</f>
        <v>7309492.4651162783</v>
      </c>
    </row>
    <row r="42" spans="1:4" ht="15">
      <c r="A42" s="544">
        <v>12</v>
      </c>
      <c r="B42" s="552" t="s">
        <v>822</v>
      </c>
      <c r="C42" s="551" t="s">
        <v>820</v>
      </c>
      <c r="D42" s="553">
        <f>D40+D41</f>
        <v>8125978.3255813941</v>
      </c>
    </row>
    <row r="43" spans="1:4" ht="16">
      <c r="A43" s="544">
        <v>13</v>
      </c>
      <c r="B43" s="588" t="s">
        <v>823</v>
      </c>
      <c r="C43" s="589" t="s">
        <v>899</v>
      </c>
      <c r="D43" s="590">
        <f>D42/D53</f>
        <v>245646.26135373019</v>
      </c>
    </row>
    <row r="44" spans="1:4" ht="16">
      <c r="A44" s="544">
        <v>14</v>
      </c>
      <c r="B44" s="588" t="s">
        <v>896</v>
      </c>
      <c r="C44" s="589" t="s">
        <v>900</v>
      </c>
      <c r="D44" s="590">
        <f>D43/D55</f>
        <v>31.015942090117449</v>
      </c>
    </row>
    <row r="45" spans="1:4" ht="15">
      <c r="A45" s="544">
        <v>15</v>
      </c>
      <c r="B45" s="588" t="s">
        <v>897</v>
      </c>
      <c r="C45" s="589" t="s">
        <v>28</v>
      </c>
      <c r="D45" s="591">
        <v>0.6</v>
      </c>
    </row>
    <row r="46" spans="1:4" ht="16">
      <c r="A46" s="595">
        <f t="shared" ref="A46:A48" si="1">A45+1</f>
        <v>16</v>
      </c>
      <c r="B46" s="596" t="s">
        <v>898</v>
      </c>
      <c r="C46" s="597" t="s">
        <v>832</v>
      </c>
      <c r="D46" s="598">
        <f>D44/D45</f>
        <v>51.693236816862417</v>
      </c>
    </row>
    <row r="47" spans="1:4" ht="16">
      <c r="A47" s="544">
        <f t="shared" si="1"/>
        <v>17</v>
      </c>
      <c r="B47" s="592" t="s">
        <v>831</v>
      </c>
      <c r="C47" s="589" t="s">
        <v>899</v>
      </c>
      <c r="D47" s="593">
        <f>D36</f>
        <v>3240.0232558139533</v>
      </c>
    </row>
    <row r="48" spans="1:4" ht="16">
      <c r="A48" s="544">
        <f t="shared" si="1"/>
        <v>18</v>
      </c>
      <c r="B48" s="592" t="s">
        <v>831</v>
      </c>
      <c r="C48" s="594" t="s">
        <v>901</v>
      </c>
      <c r="D48" s="593">
        <f>D47/D54</f>
        <v>9.8182522903453133</v>
      </c>
    </row>
    <row r="49" spans="1:4" ht="14" customHeight="1">
      <c r="A49" s="882" t="s">
        <v>824</v>
      </c>
      <c r="B49" s="882"/>
      <c r="C49" s="882"/>
      <c r="D49" s="882"/>
    </row>
    <row r="50" spans="1:4" ht="16">
      <c r="A50" s="614">
        <v>1</v>
      </c>
      <c r="B50" s="883" t="s">
        <v>825</v>
      </c>
      <c r="C50" s="615" t="s">
        <v>820</v>
      </c>
      <c r="D50" s="616">
        <f>3600000000/1000/1000</f>
        <v>3600</v>
      </c>
    </row>
    <row r="51" spans="1:4" ht="16">
      <c r="A51" s="614">
        <v>2</v>
      </c>
      <c r="B51" s="883"/>
      <c r="C51" s="615" t="s">
        <v>826</v>
      </c>
      <c r="D51" s="615">
        <v>0.86</v>
      </c>
    </row>
    <row r="52" spans="1:4" ht="16" customHeight="1">
      <c r="A52" s="614">
        <f>A51+1</f>
        <v>3</v>
      </c>
      <c r="B52" s="883" t="s">
        <v>827</v>
      </c>
      <c r="C52" s="615" t="s">
        <v>60</v>
      </c>
      <c r="D52" s="617">
        <f>D53/D50*1000</f>
        <v>9.1888888888888882</v>
      </c>
    </row>
    <row r="53" spans="1:4" ht="16">
      <c r="A53" s="614">
        <f>A52+1</f>
        <v>4</v>
      </c>
      <c r="B53" s="883"/>
      <c r="C53" s="615" t="s">
        <v>820</v>
      </c>
      <c r="D53" s="618">
        <v>33.08</v>
      </c>
    </row>
    <row r="54" spans="1:4" ht="16">
      <c r="A54" s="614">
        <f>A53+1</f>
        <v>5</v>
      </c>
      <c r="B54" s="619" t="s">
        <v>828</v>
      </c>
      <c r="C54" s="614" t="s">
        <v>225</v>
      </c>
      <c r="D54" s="616">
        <f>D26</f>
        <v>330</v>
      </c>
    </row>
    <row r="55" spans="1:4" ht="16">
      <c r="A55" s="614">
        <f>A54+1</f>
        <v>6</v>
      </c>
      <c r="B55" s="619" t="s">
        <v>942</v>
      </c>
      <c r="C55" s="620" t="s">
        <v>218</v>
      </c>
      <c r="D55" s="616">
        <f>D27</f>
        <v>7920</v>
      </c>
    </row>
    <row r="57" spans="1:4" ht="16" customHeight="1">
      <c r="A57" s="881" t="s">
        <v>935</v>
      </c>
      <c r="B57" s="881"/>
      <c r="C57" s="764" t="s">
        <v>289</v>
      </c>
      <c r="D57" s="765" t="s">
        <v>1198</v>
      </c>
    </row>
    <row r="58" spans="1:4" ht="15">
      <c r="A58" s="543" t="s">
        <v>18</v>
      </c>
      <c r="B58" s="543" t="s">
        <v>31</v>
      </c>
      <c r="C58" s="543" t="s">
        <v>810</v>
      </c>
      <c r="D58" s="543" t="s">
        <v>32</v>
      </c>
    </row>
    <row r="59" spans="1:4" ht="15">
      <c r="A59" s="544">
        <v>1</v>
      </c>
      <c r="B59" s="545" t="s">
        <v>943</v>
      </c>
      <c r="C59" s="544" t="s">
        <v>830</v>
      </c>
      <c r="D59" s="548">
        <f>'6_МБ_ЛК_Ку-за'!C12</f>
        <v>7999.6212121212138</v>
      </c>
    </row>
    <row r="60" spans="1:4" ht="15">
      <c r="A60" s="544">
        <v>2</v>
      </c>
      <c r="B60" s="545" t="s">
        <v>944</v>
      </c>
      <c r="C60" s="544" t="s">
        <v>830</v>
      </c>
      <c r="D60" s="548">
        <f>D59*D62/D61</f>
        <v>14079.333333333336</v>
      </c>
    </row>
    <row r="61" spans="1:4" ht="15">
      <c r="A61" s="544">
        <v>3</v>
      </c>
      <c r="B61" s="545" t="s">
        <v>945</v>
      </c>
      <c r="C61" s="544" t="s">
        <v>28</v>
      </c>
      <c r="D61" s="547">
        <v>0.5</v>
      </c>
    </row>
    <row r="62" spans="1:4" ht="15">
      <c r="A62" s="544">
        <v>4</v>
      </c>
      <c r="B62" s="545" t="s">
        <v>946</v>
      </c>
      <c r="C62" s="544" t="s">
        <v>28</v>
      </c>
      <c r="D62" s="547">
        <f>'6_МБ_ЛК_Ку-за'!D12</f>
        <v>0.88</v>
      </c>
    </row>
    <row r="63" spans="1:4" ht="15">
      <c r="A63" s="544">
        <v>5</v>
      </c>
      <c r="B63" s="545" t="s">
        <v>812</v>
      </c>
      <c r="C63" s="544" t="s">
        <v>28</v>
      </c>
      <c r="D63" s="547">
        <f>1-D61</f>
        <v>0.5</v>
      </c>
    </row>
    <row r="64" spans="1:4" ht="15">
      <c r="A64" s="544">
        <v>6</v>
      </c>
      <c r="B64" s="545" t="s">
        <v>813</v>
      </c>
      <c r="C64" s="544" t="s">
        <v>830</v>
      </c>
      <c r="D64" s="548">
        <f>D60-D59</f>
        <v>6079.7121212121219</v>
      </c>
    </row>
    <row r="65" spans="1:4" ht="15">
      <c r="A65" s="544">
        <v>7</v>
      </c>
      <c r="B65" s="545" t="s">
        <v>814</v>
      </c>
      <c r="C65" s="544" t="s">
        <v>815</v>
      </c>
      <c r="D65" s="548">
        <v>4200</v>
      </c>
    </row>
    <row r="66" spans="1:4" ht="15">
      <c r="A66" s="544">
        <v>8</v>
      </c>
      <c r="B66" s="545" t="s">
        <v>816</v>
      </c>
      <c r="C66" s="544" t="s">
        <v>817</v>
      </c>
      <c r="D66" s="548">
        <v>2256</v>
      </c>
    </row>
    <row r="67" spans="1:4" ht="16">
      <c r="A67" s="544">
        <v>9</v>
      </c>
      <c r="B67" s="545" t="s">
        <v>947</v>
      </c>
      <c r="C67" s="549" t="s">
        <v>818</v>
      </c>
      <c r="D67" s="544">
        <v>40</v>
      </c>
    </row>
    <row r="68" spans="1:4" ht="15">
      <c r="A68" s="544">
        <v>10</v>
      </c>
      <c r="B68" s="550" t="s">
        <v>819</v>
      </c>
      <c r="C68" s="544" t="s">
        <v>820</v>
      </c>
      <c r="D68" s="548">
        <f>D65*D64*(100-D67)*1000/1000/1000</f>
        <v>1532087.4545454548</v>
      </c>
    </row>
    <row r="69" spans="1:4" ht="15">
      <c r="A69" s="544">
        <v>11</v>
      </c>
      <c r="B69" s="550" t="s">
        <v>821</v>
      </c>
      <c r="C69" s="544" t="s">
        <v>820</v>
      </c>
      <c r="D69" s="548">
        <f>D66*D64*1000/1000</f>
        <v>13715830.545454547</v>
      </c>
    </row>
    <row r="70" spans="1:4" ht="15">
      <c r="A70" s="544">
        <v>12</v>
      </c>
      <c r="B70" s="552" t="s">
        <v>822</v>
      </c>
      <c r="C70" s="551" t="s">
        <v>820</v>
      </c>
      <c r="D70" s="553">
        <f>D68+D69</f>
        <v>15247918.000000002</v>
      </c>
    </row>
    <row r="71" spans="1:4" ht="16">
      <c r="A71" s="544">
        <v>13</v>
      </c>
      <c r="B71" s="588" t="s">
        <v>823</v>
      </c>
      <c r="C71" s="589" t="s">
        <v>899</v>
      </c>
      <c r="D71" s="590">
        <f>D70/D81</f>
        <v>460940.6892382105</v>
      </c>
    </row>
    <row r="72" spans="1:4" ht="16">
      <c r="A72" s="544">
        <v>14</v>
      </c>
      <c r="B72" s="588" t="s">
        <v>896</v>
      </c>
      <c r="C72" s="589" t="s">
        <v>900</v>
      </c>
      <c r="D72" s="590">
        <f>D71/D83</f>
        <v>58.199581974521529</v>
      </c>
    </row>
    <row r="73" spans="1:4" ht="15">
      <c r="A73" s="544">
        <v>15</v>
      </c>
      <c r="B73" s="588" t="s">
        <v>897</v>
      </c>
      <c r="C73" s="589" t="s">
        <v>28</v>
      </c>
      <c r="D73" s="591">
        <v>0.6</v>
      </c>
    </row>
    <row r="74" spans="1:4" ht="16">
      <c r="A74" s="595">
        <f t="shared" ref="A74:A76" si="2">A73+1</f>
        <v>16</v>
      </c>
      <c r="B74" s="596" t="s">
        <v>898</v>
      </c>
      <c r="C74" s="597" t="s">
        <v>832</v>
      </c>
      <c r="D74" s="598">
        <f>D72/D73</f>
        <v>96.999303290869221</v>
      </c>
    </row>
    <row r="75" spans="1:4" ht="16">
      <c r="A75" s="544">
        <f t="shared" si="2"/>
        <v>17</v>
      </c>
      <c r="B75" s="592" t="s">
        <v>831</v>
      </c>
      <c r="C75" s="589" t="s">
        <v>899</v>
      </c>
      <c r="D75" s="593">
        <f>D64</f>
        <v>6079.7121212121219</v>
      </c>
    </row>
    <row r="76" spans="1:4" ht="16">
      <c r="A76" s="544">
        <f t="shared" si="2"/>
        <v>18</v>
      </c>
      <c r="B76" s="592" t="s">
        <v>831</v>
      </c>
      <c r="C76" s="594" t="s">
        <v>901</v>
      </c>
      <c r="D76" s="593">
        <f>D75/D82</f>
        <v>18.423370064279158</v>
      </c>
    </row>
    <row r="77" spans="1:4">
      <c r="A77" s="882" t="s">
        <v>824</v>
      </c>
      <c r="B77" s="882"/>
      <c r="C77" s="882"/>
      <c r="D77" s="882"/>
    </row>
    <row r="78" spans="1:4" ht="16">
      <c r="A78" s="614">
        <v>1</v>
      </c>
      <c r="B78" s="883" t="s">
        <v>825</v>
      </c>
      <c r="C78" s="615" t="s">
        <v>820</v>
      </c>
      <c r="D78" s="616">
        <f>3600000000/1000/1000</f>
        <v>3600</v>
      </c>
    </row>
    <row r="79" spans="1:4" ht="16">
      <c r="A79" s="614">
        <v>2</v>
      </c>
      <c r="B79" s="883"/>
      <c r="C79" s="615" t="s">
        <v>826</v>
      </c>
      <c r="D79" s="615">
        <v>0.86</v>
      </c>
    </row>
    <row r="80" spans="1:4" ht="16">
      <c r="A80" s="614">
        <f>A79+1</f>
        <v>3</v>
      </c>
      <c r="B80" s="883" t="s">
        <v>827</v>
      </c>
      <c r="C80" s="615" t="s">
        <v>60</v>
      </c>
      <c r="D80" s="617">
        <f>D81/D78*1000</f>
        <v>9.1888888888888882</v>
      </c>
    </row>
    <row r="81" spans="1:4" ht="16">
      <c r="A81" s="614">
        <f>A80+1</f>
        <v>4</v>
      </c>
      <c r="B81" s="883"/>
      <c r="C81" s="615" t="s">
        <v>820</v>
      </c>
      <c r="D81" s="618">
        <v>33.08</v>
      </c>
    </row>
    <row r="82" spans="1:4" ht="16">
      <c r="A82" s="614">
        <f>A81+1</f>
        <v>5</v>
      </c>
      <c r="B82" s="619" t="s">
        <v>828</v>
      </c>
      <c r="C82" s="614" t="s">
        <v>225</v>
      </c>
      <c r="D82" s="616">
        <f>D54</f>
        <v>330</v>
      </c>
    </row>
    <row r="83" spans="1:4" ht="16">
      <c r="A83" s="614">
        <f>A82+1</f>
        <v>6</v>
      </c>
      <c r="B83" s="619" t="s">
        <v>942</v>
      </c>
      <c r="C83" s="620" t="s">
        <v>218</v>
      </c>
      <c r="D83" s="616">
        <f>D55</f>
        <v>7920</v>
      </c>
    </row>
    <row r="85" spans="1:4" ht="24" customHeight="1">
      <c r="B85" s="766" t="s">
        <v>949</v>
      </c>
      <c r="C85" s="623" t="s">
        <v>948</v>
      </c>
      <c r="D85" s="624">
        <f>D18+D46+D74</f>
        <v>399.97730431571233</v>
      </c>
    </row>
    <row r="86" spans="1:4" ht="28" customHeight="1">
      <c r="B86" s="767" t="s">
        <v>831</v>
      </c>
      <c r="C86" s="621" t="s">
        <v>901</v>
      </c>
      <c r="D86" s="622">
        <f>D20+D48+D76</f>
        <v>75.968895081897216</v>
      </c>
    </row>
  </sheetData>
  <mergeCells count="13">
    <mergeCell ref="A21:D21"/>
    <mergeCell ref="B22:B23"/>
    <mergeCell ref="B24:B25"/>
    <mergeCell ref="F1:P1"/>
    <mergeCell ref="A1:B1"/>
    <mergeCell ref="A29:B29"/>
    <mergeCell ref="A57:B57"/>
    <mergeCell ref="A77:D77"/>
    <mergeCell ref="B78:B79"/>
    <mergeCell ref="B80:B81"/>
    <mergeCell ref="A49:D49"/>
    <mergeCell ref="B50:B51"/>
    <mergeCell ref="B52:B53"/>
  </mergeCells>
  <pageMargins left="0.7" right="0.7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90C8A-C53D-B54D-9DD8-65EEA0F2EFD3}">
  <dimension ref="A1:K46"/>
  <sheetViews>
    <sheetView zoomScale="120" zoomScaleNormal="120" workbookViewId="0">
      <selection sqref="A1:G3"/>
    </sheetView>
  </sheetViews>
  <sheetFormatPr baseColWidth="10" defaultColWidth="9.1640625" defaultRowHeight="15"/>
  <cols>
    <col min="1" max="1" width="12.33203125" style="224" bestFit="1" customWidth="1"/>
    <col min="2" max="2" width="11.1640625" style="224" customWidth="1"/>
    <col min="3" max="3" width="5.1640625" style="224" bestFit="1" customWidth="1"/>
    <col min="4" max="4" width="8.5" style="224" bestFit="1" customWidth="1"/>
    <col min="5" max="5" width="12.6640625" style="224" bestFit="1" customWidth="1"/>
    <col min="6" max="6" width="8.83203125" style="224" customWidth="1"/>
    <col min="7" max="7" width="32.83203125" style="224" customWidth="1"/>
    <col min="8" max="8" width="10" style="224" customWidth="1"/>
    <col min="9" max="16384" width="9.1640625" style="224"/>
  </cols>
  <sheetData>
    <row r="1" spans="1:7" ht="29" customHeight="1">
      <c r="A1" s="796" t="s">
        <v>1196</v>
      </c>
      <c r="B1" s="796"/>
      <c r="C1" s="796"/>
      <c r="D1" s="796"/>
      <c r="E1" s="796"/>
      <c r="F1" s="762" t="s">
        <v>289</v>
      </c>
      <c r="G1" s="761" t="s">
        <v>1233</v>
      </c>
    </row>
    <row r="2" spans="1:7" ht="75" customHeight="1">
      <c r="A2" s="58" t="s">
        <v>377</v>
      </c>
      <c r="B2" s="467" t="s">
        <v>378</v>
      </c>
      <c r="C2" s="58" t="s">
        <v>379</v>
      </c>
      <c r="D2" s="58" t="s">
        <v>136</v>
      </c>
      <c r="E2" s="734" t="s">
        <v>380</v>
      </c>
      <c r="F2" s="467" t="s">
        <v>381</v>
      </c>
      <c r="G2" s="639" t="s">
        <v>376</v>
      </c>
    </row>
    <row r="3" spans="1:7" ht="96">
      <c r="A3" s="225" t="s">
        <v>705</v>
      </c>
      <c r="B3" s="226">
        <v>5675</v>
      </c>
      <c r="C3" s="226">
        <v>145.26</v>
      </c>
      <c r="D3" s="226">
        <v>633.91</v>
      </c>
      <c r="E3" s="226">
        <v>88</v>
      </c>
      <c r="F3" s="226">
        <f>B3+C3+D3+E3</f>
        <v>6542.17</v>
      </c>
      <c r="G3" s="225" t="s">
        <v>706</v>
      </c>
    </row>
    <row r="46" spans="11:11">
      <c r="K46" s="224">
        <v>22</v>
      </c>
    </row>
  </sheetData>
  <mergeCells count="1">
    <mergeCell ref="A1:E1"/>
  </mergeCells>
  <pageMargins left="0.7" right="0.7" top="0.75" bottom="0.75" header="0.3" footer="0.3"/>
  <pageSetup paperSize="9" orientation="landscape" horizontalDpi="0" verticalDpi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48302-5EBC-8446-91ED-20D7A024DAB3}">
  <sheetPr>
    <pageSetUpPr fitToPage="1"/>
  </sheetPr>
  <dimension ref="A1:L14"/>
  <sheetViews>
    <sheetView zoomScale="120" zoomScaleNormal="120" workbookViewId="0">
      <selection activeCell="J3" sqref="J3"/>
    </sheetView>
  </sheetViews>
  <sheetFormatPr baseColWidth="10" defaultColWidth="9.1640625" defaultRowHeight="15"/>
  <cols>
    <col min="1" max="1" width="4.1640625" style="3" bestFit="1" customWidth="1"/>
    <col min="2" max="2" width="14.83203125" style="6" bestFit="1" customWidth="1"/>
    <col min="3" max="3" width="6.83203125" style="3" bestFit="1" customWidth="1"/>
    <col min="4" max="4" width="10.6640625" style="3" bestFit="1" customWidth="1"/>
    <col min="5" max="5" width="6.6640625" style="3" bestFit="1" customWidth="1"/>
    <col min="6" max="6" width="14.1640625" style="3" customWidth="1"/>
    <col min="7" max="7" width="12.5" style="3" customWidth="1"/>
    <col min="8" max="8" width="11.5" style="3" bestFit="1" customWidth="1"/>
    <col min="9" max="9" width="12.6640625" style="3" bestFit="1" customWidth="1"/>
    <col min="10" max="10" width="12.1640625" style="3" bestFit="1" customWidth="1"/>
    <col min="11" max="11" width="12.5" style="3" bestFit="1" customWidth="1"/>
    <col min="12" max="12" width="19.83203125" style="3" bestFit="1" customWidth="1"/>
    <col min="13" max="13" width="9.1640625" style="3"/>
    <col min="14" max="14" width="9.5" style="3" customWidth="1"/>
    <col min="15" max="16384" width="9.1640625" style="3"/>
  </cols>
  <sheetData>
    <row r="1" spans="1:12" ht="21.75" customHeight="1">
      <c r="A1" s="849" t="s">
        <v>1201</v>
      </c>
      <c r="B1" s="849"/>
      <c r="C1" s="849"/>
      <c r="D1" s="849"/>
      <c r="E1" s="849"/>
      <c r="F1" s="849"/>
      <c r="G1" s="849"/>
      <c r="H1" s="849"/>
      <c r="I1" s="849"/>
      <c r="J1" s="849"/>
      <c r="K1" s="769" t="s">
        <v>289</v>
      </c>
      <c r="L1" s="770">
        <v>25</v>
      </c>
    </row>
    <row r="2" spans="1:12" ht="64">
      <c r="A2" s="57" t="s">
        <v>18</v>
      </c>
      <c r="B2" s="58" t="s">
        <v>58</v>
      </c>
      <c r="C2" s="57" t="s">
        <v>1</v>
      </c>
      <c r="D2" s="57" t="s">
        <v>544</v>
      </c>
      <c r="E2" s="57" t="s">
        <v>921</v>
      </c>
      <c r="F2" s="57" t="s">
        <v>495</v>
      </c>
      <c r="G2" s="57" t="s">
        <v>496</v>
      </c>
      <c r="H2" s="57" t="s">
        <v>497</v>
      </c>
      <c r="I2" s="57" t="s">
        <v>498</v>
      </c>
      <c r="J2" s="57" t="s">
        <v>499</v>
      </c>
      <c r="K2" s="57" t="s">
        <v>500</v>
      </c>
      <c r="L2" s="57" t="s">
        <v>443</v>
      </c>
    </row>
    <row r="3" spans="1:12" ht="16">
      <c r="A3" s="254">
        <v>1</v>
      </c>
      <c r="B3" s="251" t="s">
        <v>917</v>
      </c>
      <c r="C3" s="254" t="s">
        <v>462</v>
      </c>
      <c r="D3" s="259">
        <f>'6_МБ_ЛК_Ку-за'!$C$11</f>
        <v>20000</v>
      </c>
      <c r="E3" s="259">
        <f>D3</f>
        <v>20000</v>
      </c>
      <c r="F3" s="288">
        <f>4*1.25</f>
        <v>5</v>
      </c>
      <c r="G3" s="288">
        <f>F3*E3/L11</f>
        <v>12.626262626262626</v>
      </c>
      <c r="H3" s="289">
        <f>G3</f>
        <v>12.626262626262626</v>
      </c>
      <c r="I3" s="290">
        <f>G3*$L$11</f>
        <v>100000</v>
      </c>
      <c r="J3" s="290">
        <f>G3*$L$10</f>
        <v>951.3888888888888</v>
      </c>
      <c r="K3" s="250">
        <f>I3*$L$10</f>
        <v>7534999.9999999991</v>
      </c>
      <c r="L3" s="250" t="s">
        <v>800</v>
      </c>
    </row>
    <row r="4" spans="1:12" ht="32">
      <c r="A4" s="605">
        <v>2</v>
      </c>
      <c r="B4" s="135" t="s">
        <v>918</v>
      </c>
      <c r="C4" s="254" t="s">
        <v>462</v>
      </c>
      <c r="D4" s="538">
        <f>'6_МБ_ЛК_Ку-за'!C15</f>
        <v>18000</v>
      </c>
      <c r="E4" s="538">
        <f>D4</f>
        <v>18000</v>
      </c>
      <c r="F4" s="537"/>
      <c r="G4" s="537">
        <f>J4/$L$10</f>
        <v>3.3349006530588019</v>
      </c>
      <c r="H4" s="609">
        <f>G4*1.2</f>
        <v>4.0018807836705621</v>
      </c>
      <c r="I4" s="290">
        <f>G4*$L$11</f>
        <v>26412.413172225712</v>
      </c>
      <c r="J4" s="610">
        <f>'24-2_Газ_Сушка'!D18</f>
        <v>251.28476420798071</v>
      </c>
      <c r="K4" s="250">
        <f>I4*$L$10</f>
        <v>1990175.3325272072</v>
      </c>
      <c r="L4" s="561" t="s">
        <v>895</v>
      </c>
    </row>
    <row r="5" spans="1:12" ht="16">
      <c r="A5" s="605">
        <v>3</v>
      </c>
      <c r="B5" s="135" t="s">
        <v>919</v>
      </c>
      <c r="C5" s="254" t="s">
        <v>462</v>
      </c>
      <c r="D5" s="538">
        <f>'6_МБ_ЛК_Ку-за'!C13</f>
        <v>4500.0322997416024</v>
      </c>
      <c r="E5" s="538">
        <f>D5</f>
        <v>4500.0322997416024</v>
      </c>
      <c r="F5" s="537"/>
      <c r="G5" s="537">
        <f t="shared" ref="G5:G6" si="0">J5/$L$10</f>
        <v>0.68604162995172424</v>
      </c>
      <c r="H5" s="609">
        <f t="shared" ref="H5:H6" si="1">G5*1.2</f>
        <v>0.82324995594206907</v>
      </c>
      <c r="I5" s="290">
        <f>G5*$L$11</f>
        <v>5433.4497092176562</v>
      </c>
      <c r="J5" s="610">
        <f>'24-2_Газ_Сушка'!D46</f>
        <v>51.693236816862417</v>
      </c>
      <c r="K5" s="250">
        <f t="shared" ref="K5:K6" si="2">I5*$L$10</f>
        <v>409410.43558955035</v>
      </c>
      <c r="L5" s="561" t="s">
        <v>895</v>
      </c>
    </row>
    <row r="6" spans="1:12" ht="16">
      <c r="A6" s="605">
        <v>4</v>
      </c>
      <c r="B6" s="135" t="s">
        <v>920</v>
      </c>
      <c r="C6" s="254" t="s">
        <v>462</v>
      </c>
      <c r="D6" s="538">
        <f>'6_МБ_ЛК_Ку-за'!C12</f>
        <v>7999.6212121212138</v>
      </c>
      <c r="E6" s="538">
        <f>D6</f>
        <v>7999.6212121212138</v>
      </c>
      <c r="F6" s="537"/>
      <c r="G6" s="537">
        <f t="shared" si="0"/>
        <v>1.2873165665676076</v>
      </c>
      <c r="H6" s="609">
        <f t="shared" si="1"/>
        <v>1.5447798798811292</v>
      </c>
      <c r="I6" s="290">
        <f t="shared" ref="I6" si="3">G6*$L$11</f>
        <v>10195.547207215452</v>
      </c>
      <c r="J6" s="610">
        <f>'24-2_Газ_Сушка'!D74</f>
        <v>96.999303290869221</v>
      </c>
      <c r="K6" s="250">
        <f t="shared" si="2"/>
        <v>768234.48206368426</v>
      </c>
      <c r="L6" s="561" t="s">
        <v>895</v>
      </c>
    </row>
    <row r="7" spans="1:12" ht="48">
      <c r="A7" s="254">
        <v>5</v>
      </c>
      <c r="B7" s="251" t="s">
        <v>501</v>
      </c>
      <c r="C7" s="254" t="s">
        <v>462</v>
      </c>
      <c r="D7" s="288"/>
      <c r="E7" s="288"/>
      <c r="F7" s="288"/>
      <c r="G7" s="288">
        <f>'26_Отопление'!D20</f>
        <v>4.4221885837931039</v>
      </c>
      <c r="H7" s="289">
        <f>G7*2</f>
        <v>8.8443771675862077</v>
      </c>
      <c r="I7" s="290">
        <f>G7*365*24</f>
        <v>38738.371994027591</v>
      </c>
      <c r="J7" s="290">
        <f>G7*$L$10</f>
        <v>333.21190978881037</v>
      </c>
      <c r="K7" s="250">
        <f>I7*$L$10</f>
        <v>2918936.3297499786</v>
      </c>
      <c r="L7" s="250" t="s">
        <v>502</v>
      </c>
    </row>
    <row r="8" spans="1:12" ht="16">
      <c r="A8" s="216"/>
      <c r="B8" s="101" t="s">
        <v>12</v>
      </c>
      <c r="C8" s="216" t="s">
        <v>287</v>
      </c>
      <c r="D8" s="291" t="s">
        <v>287</v>
      </c>
      <c r="E8" s="291"/>
      <c r="F8" s="291" t="s">
        <v>287</v>
      </c>
      <c r="G8" s="292">
        <f>SUM(G3:G7)</f>
        <v>22.356710059633865</v>
      </c>
      <c r="H8" s="292">
        <f>SUM(H3:H7)</f>
        <v>27.840550413342591</v>
      </c>
      <c r="I8" s="293">
        <f>SUM(I3:I7)</f>
        <v>180779.78208268643</v>
      </c>
      <c r="J8" s="293">
        <f>SUM(J3:J7)</f>
        <v>1684.5781029934114</v>
      </c>
      <c r="K8" s="293">
        <f>SUM(K3:K7)</f>
        <v>13621756.579930419</v>
      </c>
      <c r="L8" s="216" t="s">
        <v>287</v>
      </c>
    </row>
    <row r="10" spans="1:12">
      <c r="A10" s="885" t="s">
        <v>503</v>
      </c>
      <c r="B10" s="885"/>
      <c r="C10" s="885"/>
      <c r="D10" s="885"/>
      <c r="E10" s="885"/>
      <c r="F10" s="885"/>
      <c r="G10" s="885"/>
      <c r="H10" s="885"/>
      <c r="I10" s="885"/>
      <c r="J10" s="885"/>
      <c r="K10" s="885"/>
      <c r="L10" s="294">
        <v>75.349999999999994</v>
      </c>
    </row>
    <row r="11" spans="1:12">
      <c r="A11" s="885" t="s">
        <v>504</v>
      </c>
      <c r="B11" s="885"/>
      <c r="C11" s="885"/>
      <c r="D11" s="885"/>
      <c r="E11" s="885"/>
      <c r="F11" s="885"/>
      <c r="G11" s="885"/>
      <c r="H11" s="885"/>
      <c r="I11" s="885"/>
      <c r="J11" s="885"/>
      <c r="K11" s="885"/>
      <c r="L11" s="295">
        <f>330*24</f>
        <v>7920</v>
      </c>
    </row>
    <row r="13" spans="1:12">
      <c r="K13" s="183"/>
    </row>
    <row r="14" spans="1:12" ht="42.75" customHeight="1"/>
  </sheetData>
  <mergeCells count="3">
    <mergeCell ref="A10:K10"/>
    <mergeCell ref="A11:K11"/>
    <mergeCell ref="A1:J1"/>
  </mergeCells>
  <pageMargins left="0.7" right="0.7" top="0.75" bottom="0.75" header="0.3" footer="0.3"/>
  <pageSetup paperSize="9" scale="8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EBE75-411A-8B49-B12A-E215223EBA69}">
  <dimension ref="A1:T49"/>
  <sheetViews>
    <sheetView workbookViewId="0">
      <selection activeCell="G2" sqref="G2"/>
    </sheetView>
  </sheetViews>
  <sheetFormatPr baseColWidth="10" defaultColWidth="8.83203125" defaultRowHeight="15"/>
  <cols>
    <col min="1" max="1" width="23.5" customWidth="1"/>
    <col min="2" max="2" width="11.83203125" customWidth="1"/>
    <col min="3" max="3" width="19.6640625" customWidth="1"/>
    <col min="4" max="4" width="13.33203125" customWidth="1"/>
    <col min="5" max="5" width="14.33203125" customWidth="1"/>
    <col min="6" max="6" width="14.5" customWidth="1"/>
    <col min="7" max="8" width="14.33203125" customWidth="1"/>
    <col min="9" max="9" width="16.5" customWidth="1"/>
    <col min="11" max="11" width="13.5" customWidth="1"/>
    <col min="12" max="12" width="14.5" customWidth="1"/>
    <col min="13" max="13" width="12" customWidth="1"/>
    <col min="14" max="14" width="14.83203125" customWidth="1"/>
    <col min="15" max="15" width="14.5" customWidth="1"/>
    <col min="16" max="16" width="11.83203125" customWidth="1"/>
    <col min="17" max="17" width="15.83203125" customWidth="1"/>
    <col min="18" max="18" width="15.6640625" customWidth="1"/>
    <col min="19" max="19" width="13.33203125" customWidth="1"/>
    <col min="20" max="20" width="14.5" customWidth="1"/>
  </cols>
  <sheetData>
    <row r="1" spans="1:20">
      <c r="B1" s="296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190"/>
      <c r="O1" s="297"/>
      <c r="P1" s="297"/>
      <c r="Q1" s="297"/>
      <c r="R1" s="297"/>
      <c r="S1" s="297"/>
      <c r="T1" s="297"/>
    </row>
    <row r="2" spans="1:20" ht="20">
      <c r="A2" s="298" t="s">
        <v>505</v>
      </c>
      <c r="B2" s="297"/>
      <c r="C2" s="297"/>
      <c r="D2" s="297"/>
      <c r="E2" s="297"/>
      <c r="F2" s="297"/>
      <c r="G2" s="780" t="s">
        <v>147</v>
      </c>
      <c r="H2" s="779">
        <v>26</v>
      </c>
      <c r="I2" s="297"/>
      <c r="J2" s="297"/>
      <c r="K2" s="297"/>
      <c r="L2" s="297"/>
      <c r="M2" s="190"/>
      <c r="N2" s="297"/>
      <c r="O2" s="297"/>
      <c r="P2" s="297"/>
      <c r="Q2" s="297"/>
      <c r="R2" s="297"/>
      <c r="S2" s="297"/>
    </row>
    <row r="3" spans="1:20" ht="121.5" customHeight="1">
      <c r="A3" s="299" t="s">
        <v>506</v>
      </c>
      <c r="B3" s="300" t="s">
        <v>507</v>
      </c>
      <c r="C3" s="300" t="s">
        <v>508</v>
      </c>
      <c r="D3" s="300" t="s">
        <v>509</v>
      </c>
      <c r="E3" s="300" t="s">
        <v>510</v>
      </c>
      <c r="F3" s="300" t="s">
        <v>511</v>
      </c>
      <c r="G3" s="300" t="s">
        <v>512</v>
      </c>
      <c r="H3" s="300" t="s">
        <v>513</v>
      </c>
      <c r="I3" s="301" t="s">
        <v>514</v>
      </c>
      <c r="J3" s="30" t="s">
        <v>515</v>
      </c>
      <c r="K3" s="30" t="s">
        <v>516</v>
      </c>
      <c r="L3" s="30" t="s">
        <v>517</v>
      </c>
      <c r="M3" s="270" t="s">
        <v>518</v>
      </c>
      <c r="N3" s="30" t="s">
        <v>519</v>
      </c>
      <c r="O3" s="30" t="s">
        <v>520</v>
      </c>
      <c r="P3" s="30" t="s">
        <v>521</v>
      </c>
      <c r="Q3" s="30" t="s">
        <v>522</v>
      </c>
      <c r="R3" s="30" t="s">
        <v>523</v>
      </c>
      <c r="S3" s="30" t="s">
        <v>524</v>
      </c>
      <c r="T3" s="30" t="s">
        <v>525</v>
      </c>
    </row>
    <row r="4" spans="1:20" ht="25.5" customHeight="1">
      <c r="A4" s="302" t="s">
        <v>338</v>
      </c>
      <c r="B4" s="303">
        <v>92</v>
      </c>
      <c r="C4" s="304"/>
      <c r="D4" s="304"/>
      <c r="E4" s="305">
        <f t="shared" ref="E4:E10" si="0">($P$4*$Q$4*($J$4-$M$4)*B4*$T$4)/1000</f>
        <v>2.4613679999999998</v>
      </c>
      <c r="F4" s="305">
        <f>(C4*$R$4*($K$4-$M$4))/1000</f>
        <v>0</v>
      </c>
      <c r="G4" s="305">
        <f>(D4*$R$4*($L$4-$M$4))/1000</f>
        <v>0</v>
      </c>
      <c r="H4" s="305">
        <f>E4+F4+G4</f>
        <v>2.4613679999999998</v>
      </c>
      <c r="I4" s="33"/>
      <c r="J4" s="306">
        <v>20</v>
      </c>
      <c r="K4" s="30">
        <v>18</v>
      </c>
      <c r="L4" s="30">
        <v>5</v>
      </c>
      <c r="M4" s="30">
        <v>-29</v>
      </c>
      <c r="N4" s="30" t="s">
        <v>526</v>
      </c>
      <c r="O4" s="30" t="s">
        <v>527</v>
      </c>
      <c r="P4" s="30">
        <v>1</v>
      </c>
      <c r="Q4" s="30">
        <v>0.52</v>
      </c>
      <c r="R4" s="30">
        <v>0.17</v>
      </c>
      <c r="S4" s="30"/>
      <c r="T4" s="30">
        <v>1.05</v>
      </c>
    </row>
    <row r="5" spans="1:20" ht="25.5" customHeight="1">
      <c r="A5" s="302" t="s">
        <v>337</v>
      </c>
      <c r="B5" s="304">
        <v>720</v>
      </c>
      <c r="C5" s="304"/>
      <c r="D5" s="304"/>
      <c r="E5" s="305">
        <f t="shared" si="0"/>
        <v>19.262880000000003</v>
      </c>
      <c r="F5" s="305">
        <f>(C5*$R$4*($K$4-$M$4))/1000</f>
        <v>0</v>
      </c>
      <c r="G5" s="305">
        <f>(D5*$R$4*($L$4-$M$4))/1000</f>
        <v>0</v>
      </c>
      <c r="H5" s="305">
        <f t="shared" ref="H5:H13" si="1">E5+F5+G5</f>
        <v>19.262880000000003</v>
      </c>
      <c r="I5" s="307"/>
      <c r="J5" s="308"/>
      <c r="K5" s="297"/>
      <c r="L5" s="297"/>
      <c r="M5" s="190"/>
      <c r="N5" s="297"/>
      <c r="O5" s="297"/>
      <c r="P5" s="297"/>
      <c r="Q5" s="297"/>
      <c r="R5" s="297"/>
      <c r="S5" s="297"/>
    </row>
    <row r="6" spans="1:20" ht="30" customHeight="1">
      <c r="A6" s="302" t="s">
        <v>981</v>
      </c>
      <c r="B6" s="304">
        <f>5743/1.25</f>
        <v>4594.3999999999996</v>
      </c>
      <c r="C6" s="304">
        <f>154353/1.25</f>
        <v>123482.4</v>
      </c>
      <c r="D6" s="304">
        <f>132601/1.25</f>
        <v>106080.8</v>
      </c>
      <c r="E6" s="305">
        <f t="shared" si="0"/>
        <v>122.91857759999999</v>
      </c>
      <c r="F6" s="305">
        <f>(C6*$R$4*($K$4-$M$4))/1000</f>
        <v>986.6243760000001</v>
      </c>
      <c r="G6" s="305">
        <f>(D6*$R$4*($L$4-$M$4))/1000</f>
        <v>613.14702399999999</v>
      </c>
      <c r="H6" s="305">
        <f t="shared" si="1"/>
        <v>1722.6899776</v>
      </c>
      <c r="I6" s="309"/>
      <c r="K6" s="297"/>
      <c r="L6" s="297"/>
      <c r="M6" s="190"/>
      <c r="N6" s="297"/>
      <c r="O6" s="297"/>
      <c r="P6" s="297"/>
      <c r="Q6" s="297"/>
      <c r="R6" s="297"/>
      <c r="S6" s="297"/>
    </row>
    <row r="7" spans="1:20" ht="34.5" customHeight="1">
      <c r="A7" s="302" t="s">
        <v>528</v>
      </c>
      <c r="B7" s="304">
        <v>586</v>
      </c>
      <c r="C7" s="304"/>
      <c r="D7" s="304">
        <v>6480</v>
      </c>
      <c r="E7" s="305">
        <f t="shared" si="0"/>
        <v>15.677844</v>
      </c>
      <c r="F7" s="305">
        <f>(C7*0.7*($K$4-$M$4))/1000</f>
        <v>0</v>
      </c>
      <c r="G7" s="305">
        <f>(D7*0.7*($L$4-$M$4))/1000</f>
        <v>154.22399999999999</v>
      </c>
      <c r="H7" s="305">
        <f t="shared" si="1"/>
        <v>169.90184399999998</v>
      </c>
      <c r="I7" s="270"/>
      <c r="J7" s="308"/>
      <c r="K7" s="297"/>
      <c r="L7" s="297"/>
      <c r="M7" s="190"/>
      <c r="N7" s="297"/>
      <c r="O7" s="297"/>
      <c r="P7" s="297"/>
      <c r="Q7" s="297"/>
      <c r="R7" s="297"/>
      <c r="S7" s="297"/>
    </row>
    <row r="8" spans="1:20" ht="51.75" customHeight="1">
      <c r="A8" s="302" t="s">
        <v>529</v>
      </c>
      <c r="B8" s="304"/>
      <c r="C8" s="304">
        <v>7776</v>
      </c>
      <c r="D8" s="304"/>
      <c r="E8" s="305">
        <f t="shared" si="0"/>
        <v>0</v>
      </c>
      <c r="F8" s="305">
        <f>(C8*$R$4*($K$4-$M$4))/1000</f>
        <v>62.130240000000008</v>
      </c>
      <c r="G8" s="305">
        <f>(D8*$R$4*($L$4-$M$4))/1000</f>
        <v>0</v>
      </c>
      <c r="H8" s="305">
        <f t="shared" si="1"/>
        <v>62.130240000000008</v>
      </c>
      <c r="I8" s="309"/>
      <c r="J8" s="308"/>
      <c r="K8" s="297"/>
      <c r="L8" s="297"/>
      <c r="M8" s="190"/>
      <c r="N8" s="310"/>
      <c r="O8" s="297"/>
      <c r="P8" s="297"/>
      <c r="Q8" s="297"/>
      <c r="R8" s="297"/>
      <c r="S8" s="297"/>
    </row>
    <row r="9" spans="1:20" ht="30" customHeight="1">
      <c r="A9" s="302" t="s">
        <v>530</v>
      </c>
      <c r="B9" s="304">
        <f>108/3</f>
        <v>36</v>
      </c>
      <c r="C9" s="304">
        <f>5940/30</f>
        <v>198</v>
      </c>
      <c r="D9" s="304"/>
      <c r="E9" s="305">
        <f t="shared" si="0"/>
        <v>0.963144</v>
      </c>
      <c r="F9" s="305">
        <f>($P$4*0.75*($J$4-$M$4)*C9*$T$4)/1000</f>
        <v>7.6403250000000007</v>
      </c>
      <c r="G9" s="305">
        <f>(D9*$R$4*($L$4-$M$4))/1000</f>
        <v>0</v>
      </c>
      <c r="H9" s="305">
        <f t="shared" si="1"/>
        <v>8.6034690000000005</v>
      </c>
      <c r="I9" s="309"/>
      <c r="J9" s="308"/>
      <c r="K9" s="297"/>
      <c r="L9" s="297"/>
      <c r="M9" s="190"/>
      <c r="N9" s="297"/>
      <c r="O9" s="297"/>
      <c r="P9" s="297"/>
      <c r="Q9" s="297"/>
      <c r="R9" s="297"/>
      <c r="S9" s="297"/>
    </row>
    <row r="10" spans="1:20" ht="28.5" customHeight="1">
      <c r="A10" s="302" t="s">
        <v>274</v>
      </c>
      <c r="B10" s="304">
        <v>2520</v>
      </c>
      <c r="C10" s="304">
        <v>9360</v>
      </c>
      <c r="D10" s="304"/>
      <c r="E10" s="305">
        <f t="shared" si="0"/>
        <v>67.420079999999999</v>
      </c>
      <c r="F10" s="305">
        <f>(C10*$R$4*($K$4-$M$4))/1000</f>
        <v>74.786400000000015</v>
      </c>
      <c r="G10" s="305">
        <f>(D10*$R$4*($L$4-$M$4))/1000</f>
        <v>0</v>
      </c>
      <c r="H10" s="305">
        <f t="shared" si="1"/>
        <v>142.20648</v>
      </c>
      <c r="I10" s="309"/>
      <c r="J10" s="308"/>
      <c r="K10" s="297"/>
      <c r="L10" s="297"/>
      <c r="M10" s="190"/>
      <c r="N10" s="297"/>
      <c r="O10" s="297"/>
      <c r="P10" s="297"/>
      <c r="Q10" s="297"/>
      <c r="R10" s="297"/>
      <c r="S10" s="297"/>
    </row>
    <row r="11" spans="1:20" ht="33" customHeight="1">
      <c r="A11" s="302" t="s">
        <v>531</v>
      </c>
      <c r="B11" s="304">
        <v>18932</v>
      </c>
      <c r="C11" s="304"/>
      <c r="D11" s="304"/>
      <c r="E11" s="305">
        <f>($P$4*0.3*($J$4-$M$4)*B11*$T$4)/1000</f>
        <v>292.21541999999999</v>
      </c>
      <c r="F11" s="305">
        <f>(C11*$R$4*($K$4-$M$4))/1000</f>
        <v>0</v>
      </c>
      <c r="G11" s="305">
        <f>(D11*$R$4*($L$4-$M$4))/1000</f>
        <v>0</v>
      </c>
      <c r="H11" s="305">
        <f t="shared" si="1"/>
        <v>292.21541999999999</v>
      </c>
      <c r="I11" s="270"/>
      <c r="J11" s="308"/>
      <c r="K11" s="297"/>
      <c r="L11" s="297"/>
      <c r="M11" s="190"/>
      <c r="N11" s="297"/>
      <c r="O11" s="297"/>
      <c r="P11" s="297"/>
      <c r="Q11" s="297"/>
      <c r="R11" s="297"/>
      <c r="S11" s="297"/>
    </row>
    <row r="12" spans="1:20" ht="39.75" customHeight="1">
      <c r="A12" s="302" t="s">
        <v>532</v>
      </c>
      <c r="B12" s="304"/>
      <c r="C12" s="304">
        <v>2520</v>
      </c>
      <c r="D12" s="304"/>
      <c r="E12" s="305">
        <f>($P$4*$Q$4*($J$4-$M$4)*B12*$T$4)/1000</f>
        <v>0</v>
      </c>
      <c r="F12" s="305">
        <f>($P$4*1.05*($J$4-$M$4)*C12*$T$4)/1000</f>
        <v>136.13670000000002</v>
      </c>
      <c r="G12" s="305">
        <f>($P$4*$Q$4*($J$4-$M$4)*D12*$T$4)/1000</f>
        <v>0</v>
      </c>
      <c r="H12" s="305">
        <f t="shared" si="1"/>
        <v>136.13670000000002</v>
      </c>
      <c r="I12" s="309"/>
      <c r="J12" s="308"/>
      <c r="K12" s="297"/>
      <c r="L12" s="297"/>
      <c r="M12" s="190"/>
      <c r="N12" s="297"/>
      <c r="O12" s="297"/>
      <c r="P12" s="297"/>
      <c r="Q12" s="297"/>
      <c r="R12" s="297"/>
      <c r="S12" s="297"/>
    </row>
    <row r="13" spans="1:20" ht="16">
      <c r="A13" s="302" t="s">
        <v>322</v>
      </c>
      <c r="B13" s="304">
        <v>600</v>
      </c>
      <c r="C13" s="304"/>
      <c r="D13" s="304"/>
      <c r="E13" s="305">
        <f>($P$4*0.3*($J$4-$M$4)*B13*$T$4)/1000</f>
        <v>9.2609999999999992</v>
      </c>
      <c r="F13" s="305">
        <f>(C13*$R$4*($K$4-$M$4))/1000</f>
        <v>0</v>
      </c>
      <c r="G13" s="305">
        <f>(D13*$R$4*($L$4-$M$4))/1000</f>
        <v>0</v>
      </c>
      <c r="H13" s="305">
        <f t="shared" si="1"/>
        <v>9.2609999999999992</v>
      </c>
      <c r="I13" s="309"/>
      <c r="J13" s="308"/>
      <c r="K13" s="297"/>
      <c r="L13" s="297"/>
      <c r="M13" s="190"/>
      <c r="N13" s="297"/>
      <c r="O13" s="297"/>
      <c r="P13" s="297"/>
      <c r="Q13" s="297"/>
      <c r="R13" s="297"/>
      <c r="S13" s="297"/>
    </row>
    <row r="14" spans="1:20">
      <c r="A14" s="311"/>
      <c r="B14" s="311"/>
      <c r="C14" s="311"/>
      <c r="D14" s="311"/>
      <c r="E14" s="312"/>
      <c r="F14" s="312"/>
      <c r="G14" s="312"/>
      <c r="H14" s="313"/>
      <c r="I14" s="308"/>
      <c r="J14" s="308"/>
      <c r="K14" s="297"/>
      <c r="L14" s="297"/>
      <c r="M14" s="190"/>
      <c r="N14" s="297"/>
      <c r="O14" s="297"/>
      <c r="P14" s="297"/>
      <c r="Q14" s="297"/>
      <c r="R14" s="297"/>
      <c r="S14" s="297"/>
    </row>
    <row r="15" spans="1:20">
      <c r="A15" s="311"/>
      <c r="B15" s="311"/>
      <c r="C15" s="311"/>
      <c r="D15" s="311"/>
      <c r="E15" s="312"/>
      <c r="F15" s="312"/>
      <c r="G15" s="314"/>
      <c r="H15" s="315"/>
      <c r="I15" s="308"/>
      <c r="J15" s="308"/>
      <c r="K15" s="297"/>
      <c r="L15" s="297"/>
      <c r="M15" s="190"/>
      <c r="N15" s="297"/>
      <c r="O15" s="297"/>
      <c r="P15" s="297"/>
      <c r="Q15" s="297"/>
      <c r="R15" s="297"/>
      <c r="S15" s="297"/>
    </row>
    <row r="16" spans="1:20" ht="16">
      <c r="A16" s="33"/>
      <c r="B16" s="311"/>
      <c r="C16" s="311"/>
      <c r="D16" s="316" t="s">
        <v>533</v>
      </c>
      <c r="E16" s="317">
        <f>SUM(E4:E14)</f>
        <v>530.18031359999986</v>
      </c>
      <c r="F16" s="317">
        <f>SUM(F4:F14)</f>
        <v>1267.3180410000002</v>
      </c>
      <c r="G16" s="317">
        <f>SUM(G4:G14)</f>
        <v>767.37102400000003</v>
      </c>
      <c r="H16" s="317">
        <f>SUM(H4:H14)</f>
        <v>2564.8693785999999</v>
      </c>
      <c r="I16" s="317">
        <f>SUM(I4:I14)</f>
        <v>0</v>
      </c>
      <c r="J16" s="308"/>
      <c r="K16" s="318"/>
      <c r="L16" s="297"/>
      <c r="M16" s="190"/>
      <c r="N16" s="297"/>
      <c r="O16" s="297"/>
      <c r="P16" s="297"/>
      <c r="Q16" s="297"/>
      <c r="R16" s="297"/>
      <c r="S16" s="297"/>
    </row>
    <row r="17" spans="1:19" ht="32">
      <c r="A17" s="311"/>
      <c r="B17" s="311"/>
      <c r="C17" s="311"/>
      <c r="D17" s="319" t="s">
        <v>534</v>
      </c>
      <c r="E17" s="320">
        <f>E16*860</f>
        <v>455955.0696959999</v>
      </c>
      <c r="F17" s="320">
        <f>F16*860</f>
        <v>1089893.5152600002</v>
      </c>
      <c r="G17" s="320">
        <f>G16*860</f>
        <v>659939.08064000006</v>
      </c>
      <c r="H17" s="320">
        <f>H16*860</f>
        <v>2205787.6655959999</v>
      </c>
      <c r="I17" s="320">
        <f>I16*860</f>
        <v>0</v>
      </c>
      <c r="J17" s="308"/>
      <c r="K17" s="297"/>
      <c r="L17" s="297"/>
      <c r="M17" s="190"/>
      <c r="N17" s="297"/>
      <c r="O17" s="297"/>
      <c r="P17" s="297"/>
      <c r="Q17" s="297"/>
      <c r="R17" s="297"/>
      <c r="S17" s="297"/>
    </row>
    <row r="18" spans="1:19" ht="16">
      <c r="A18" s="321"/>
      <c r="B18" s="321"/>
      <c r="C18" s="311" t="s">
        <v>535</v>
      </c>
      <c r="D18" s="311" t="s">
        <v>389</v>
      </c>
      <c r="E18" s="322">
        <f>E16/(1000*0.58)</f>
        <v>0.91410398896551703</v>
      </c>
      <c r="F18" s="322">
        <f>F16/(1000*0.58)</f>
        <v>2.1850311051724143</v>
      </c>
      <c r="G18" s="322">
        <f>G16/(1000*0.58)</f>
        <v>1.3230534896551724</v>
      </c>
      <c r="H18" s="322">
        <f>H16/(1000*0.58)</f>
        <v>4.422188583793103</v>
      </c>
      <c r="I18" s="322">
        <f>I16/(1000*0.58)</f>
        <v>0</v>
      </c>
      <c r="J18" s="308"/>
      <c r="K18" s="318"/>
      <c r="L18" s="297"/>
      <c r="M18" s="190"/>
      <c r="N18" s="297"/>
      <c r="O18" s="323"/>
      <c r="P18" s="297"/>
      <c r="Q18" s="297"/>
      <c r="R18" s="297"/>
      <c r="S18" s="297"/>
    </row>
    <row r="19" spans="1:19" ht="16">
      <c r="A19" s="321"/>
      <c r="B19" s="321"/>
      <c r="C19" s="311" t="s">
        <v>535</v>
      </c>
      <c r="D19" s="311" t="s">
        <v>536</v>
      </c>
      <c r="E19" s="322">
        <f>E18*$A$27</f>
        <v>4497.3916257103438</v>
      </c>
      <c r="F19" s="322">
        <f>F18*$A$27</f>
        <v>10750.353037448278</v>
      </c>
      <c r="G19" s="322">
        <f>G18*$A$27</f>
        <v>6509.4231691034483</v>
      </c>
      <c r="H19" s="322">
        <f>H18*$A$27</f>
        <v>21757.167832262068</v>
      </c>
      <c r="I19" s="322">
        <f>I18*$A$27</f>
        <v>0</v>
      </c>
      <c r="J19" s="308"/>
      <c r="K19" s="318"/>
      <c r="L19" s="297"/>
      <c r="M19" s="190"/>
      <c r="N19" s="297"/>
      <c r="O19" s="323"/>
      <c r="P19" s="297"/>
      <c r="Q19" s="297"/>
      <c r="R19" s="297"/>
      <c r="S19" s="297"/>
    </row>
    <row r="20" spans="1:19" ht="31.5" customHeight="1">
      <c r="A20" s="321"/>
      <c r="B20" s="321"/>
      <c r="C20" s="324" t="s">
        <v>537</v>
      </c>
      <c r="D20" s="325">
        <f>SUM(E18:G18)</f>
        <v>4.4221885837931039</v>
      </c>
      <c r="E20" s="326"/>
      <c r="F20" s="326"/>
      <c r="G20" s="327"/>
      <c r="H20" s="327"/>
      <c r="I20" s="308"/>
      <c r="J20" s="308"/>
      <c r="K20" s="297"/>
      <c r="L20" s="297"/>
      <c r="M20" s="190"/>
      <c r="N20" s="297"/>
      <c r="O20" s="297"/>
      <c r="P20" s="297"/>
      <c r="Q20" s="297"/>
      <c r="R20" s="297"/>
      <c r="S20" s="297"/>
    </row>
    <row r="21" spans="1:19" ht="31.5" customHeight="1" thickBot="1">
      <c r="A21" s="321"/>
      <c r="B21" s="321"/>
      <c r="C21" s="328" t="s">
        <v>538</v>
      </c>
      <c r="D21" s="329">
        <f>SUM(E19:G19)</f>
        <v>21757.167832262068</v>
      </c>
      <c r="E21" s="326"/>
      <c r="F21" s="326"/>
      <c r="G21" s="327"/>
      <c r="H21" s="327"/>
      <c r="I21" s="308"/>
      <c r="K21" s="297"/>
      <c r="L21" s="297"/>
      <c r="M21" s="190"/>
      <c r="N21" s="297"/>
      <c r="P21" s="297"/>
      <c r="Q21" s="297"/>
      <c r="R21" s="297"/>
      <c r="S21" s="297"/>
    </row>
    <row r="22" spans="1:19" ht="33" thickTop="1">
      <c r="A22" s="321"/>
      <c r="B22" s="321"/>
      <c r="C22" s="57" t="s">
        <v>499</v>
      </c>
      <c r="D22" s="330">
        <f>'25_Пар'!$L$10*D20</f>
        <v>333.21190978881037</v>
      </c>
      <c r="E22" s="326"/>
      <c r="F22" s="326"/>
      <c r="G22" s="327"/>
      <c r="H22" s="327"/>
      <c r="I22" s="308"/>
      <c r="K22" s="297"/>
      <c r="L22" s="297"/>
      <c r="M22" s="190"/>
      <c r="N22" s="297"/>
      <c r="O22" s="297"/>
      <c r="P22" s="297"/>
      <c r="Q22" s="297"/>
      <c r="R22" s="297"/>
      <c r="S22" s="297"/>
    </row>
    <row r="23" spans="1:19" ht="67.5" customHeight="1">
      <c r="A23" s="331"/>
      <c r="B23" s="332"/>
      <c r="C23" s="57" t="s">
        <v>500</v>
      </c>
      <c r="D23" s="330">
        <f>'25_Пар'!$L$10*D21</f>
        <v>1639402.5961609466</v>
      </c>
      <c r="E23" s="333"/>
      <c r="F23" s="333"/>
      <c r="G23" s="334"/>
      <c r="H23" s="334"/>
      <c r="I23" s="308"/>
      <c r="J23" s="335" t="s">
        <v>539</v>
      </c>
      <c r="K23" s="297"/>
      <c r="L23" s="297"/>
      <c r="M23" s="190"/>
      <c r="N23" s="297"/>
      <c r="O23" s="297"/>
      <c r="P23" s="297"/>
      <c r="Q23" s="297"/>
      <c r="R23" s="297"/>
      <c r="S23" s="297"/>
    </row>
    <row r="24" spans="1:19">
      <c r="E24" s="336"/>
      <c r="F24" s="336"/>
      <c r="G24" s="336"/>
      <c r="H24" s="336"/>
      <c r="I24" s="297"/>
      <c r="J24" s="335" t="s">
        <v>540</v>
      </c>
    </row>
    <row r="25" spans="1:19">
      <c r="J25" s="297"/>
      <c r="K25" s="297"/>
    </row>
    <row r="26" spans="1:19" ht="32">
      <c r="A26" s="337" t="s">
        <v>541</v>
      </c>
      <c r="J26" s="310"/>
      <c r="K26" s="310"/>
    </row>
    <row r="27" spans="1:19">
      <c r="A27" s="337">
        <v>4920</v>
      </c>
    </row>
    <row r="33" spans="10:20"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</row>
    <row r="34" spans="10:20"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</row>
    <row r="35" spans="10:20"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</row>
    <row r="36" spans="10:20" ht="16">
      <c r="J36" s="190"/>
      <c r="K36" s="190"/>
      <c r="L36" s="190"/>
      <c r="M36" s="190"/>
      <c r="N36" s="190"/>
      <c r="O36" s="338"/>
      <c r="P36" s="190"/>
      <c r="Q36" s="338"/>
      <c r="R36" s="190"/>
      <c r="S36" s="190"/>
      <c r="T36" s="190"/>
    </row>
    <row r="37" spans="10:20" ht="16">
      <c r="J37" s="190"/>
      <c r="K37" s="190"/>
      <c r="L37" s="190"/>
      <c r="M37" s="190"/>
      <c r="N37" s="190"/>
      <c r="O37" s="338"/>
      <c r="P37" s="190"/>
      <c r="Q37" s="338"/>
      <c r="R37" s="190"/>
      <c r="S37" s="190"/>
      <c r="T37" s="190"/>
    </row>
    <row r="38" spans="10:20" ht="16">
      <c r="J38" s="190"/>
      <c r="K38" s="190"/>
      <c r="L38" s="190"/>
      <c r="M38" s="190"/>
      <c r="N38" s="190"/>
      <c r="O38" s="338"/>
      <c r="P38" s="190"/>
      <c r="Q38" s="338"/>
      <c r="R38" s="190"/>
      <c r="S38" s="190"/>
      <c r="T38" s="190"/>
    </row>
    <row r="39" spans="10:20" ht="16">
      <c r="J39" s="190"/>
      <c r="K39" s="190"/>
      <c r="L39" s="190"/>
      <c r="M39" s="190"/>
      <c r="N39" s="190"/>
      <c r="O39" s="338"/>
      <c r="P39" s="190"/>
      <c r="Q39" s="338"/>
      <c r="R39" s="190"/>
      <c r="S39" s="190"/>
      <c r="T39" s="190"/>
    </row>
    <row r="40" spans="10:20" ht="16">
      <c r="J40" s="190"/>
      <c r="K40" s="190"/>
      <c r="L40" s="190"/>
      <c r="M40" s="190"/>
      <c r="N40" s="190"/>
      <c r="O40" s="338"/>
      <c r="P40" s="190"/>
      <c r="Q40" s="338"/>
      <c r="R40" s="190"/>
      <c r="S40" s="190"/>
      <c r="T40" s="190"/>
    </row>
    <row r="41" spans="10:20" ht="16">
      <c r="J41" s="190"/>
      <c r="K41" s="190"/>
      <c r="L41" s="190"/>
      <c r="M41" s="190"/>
      <c r="N41" s="190"/>
      <c r="O41" s="338"/>
      <c r="P41" s="190"/>
      <c r="Q41" s="338"/>
      <c r="R41" s="190"/>
      <c r="S41" s="190"/>
      <c r="T41" s="190"/>
    </row>
    <row r="42" spans="10:20" ht="16">
      <c r="J42" s="190"/>
      <c r="K42" s="190"/>
      <c r="L42" s="190"/>
      <c r="M42" s="190"/>
      <c r="N42" s="190"/>
      <c r="O42" s="190"/>
      <c r="P42" s="190"/>
      <c r="Q42" s="338"/>
      <c r="R42" s="190"/>
      <c r="S42" s="190"/>
      <c r="T42" s="190"/>
    </row>
    <row r="43" spans="10:20"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</row>
    <row r="44" spans="10:20"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</row>
    <row r="45" spans="10:20"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</row>
    <row r="46" spans="10:20"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</row>
    <row r="47" spans="10:20"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</row>
    <row r="48" spans="10:20"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</row>
    <row r="49" spans="10:20"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</row>
  </sheetData>
  <pageMargins left="0.7" right="0.7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C6430-F2B0-4847-9978-98ADC7CB8E57}">
  <sheetPr>
    <pageSetUpPr fitToPage="1"/>
  </sheetPr>
  <dimension ref="A1:G13"/>
  <sheetViews>
    <sheetView zoomScale="120" zoomScaleNormal="120" workbookViewId="0">
      <selection activeCell="F21" sqref="F21"/>
    </sheetView>
  </sheetViews>
  <sheetFormatPr baseColWidth="10" defaultColWidth="8.83203125" defaultRowHeight="15"/>
  <cols>
    <col min="1" max="1" width="5.33203125" customWidth="1"/>
    <col min="2" max="2" width="25.83203125" bestFit="1" customWidth="1"/>
    <col min="3" max="3" width="7.6640625" bestFit="1" customWidth="1"/>
    <col min="4" max="4" width="14.1640625" customWidth="1"/>
    <col min="5" max="5" width="15.1640625" customWidth="1"/>
    <col min="6" max="6" width="12.6640625" bestFit="1" customWidth="1"/>
    <col min="7" max="7" width="26.6640625" customWidth="1"/>
  </cols>
  <sheetData>
    <row r="1" spans="1:7" ht="26.25" customHeight="1">
      <c r="A1" s="849" t="s">
        <v>1250</v>
      </c>
      <c r="B1" s="849"/>
      <c r="C1" s="849"/>
      <c r="D1" s="849"/>
      <c r="E1" s="849"/>
      <c r="F1" s="769" t="s">
        <v>289</v>
      </c>
      <c r="G1" s="768" t="s">
        <v>1234</v>
      </c>
    </row>
    <row r="2" spans="1:7" ht="52" customHeight="1">
      <c r="A2" s="57" t="s">
        <v>18</v>
      </c>
      <c r="B2" s="58" t="s">
        <v>58</v>
      </c>
      <c r="C2" s="57" t="s">
        <v>1</v>
      </c>
      <c r="D2" s="57" t="s">
        <v>291</v>
      </c>
      <c r="E2" s="57" t="s">
        <v>460</v>
      </c>
      <c r="F2" s="57" t="s">
        <v>461</v>
      </c>
      <c r="G2" s="57" t="s">
        <v>443</v>
      </c>
    </row>
    <row r="3" spans="1:7" ht="32" customHeight="1">
      <c r="A3" s="270">
        <v>1</v>
      </c>
      <c r="B3" s="271" t="s">
        <v>931</v>
      </c>
      <c r="C3" s="270" t="s">
        <v>830</v>
      </c>
      <c r="D3" s="273">
        <f>'6_МБ_ЛК_Ку-за'!$C$11</f>
        <v>20000</v>
      </c>
      <c r="E3" s="273">
        <f>25+3</f>
        <v>28</v>
      </c>
      <c r="F3" s="273">
        <f>E3*D3/C12</f>
        <v>1696.969696969697</v>
      </c>
      <c r="G3" s="270" t="s">
        <v>986</v>
      </c>
    </row>
    <row r="4" spans="1:7" ht="51" customHeight="1">
      <c r="A4" s="270">
        <v>2</v>
      </c>
      <c r="B4" s="271" t="s">
        <v>352</v>
      </c>
      <c r="C4" s="270" t="s">
        <v>463</v>
      </c>
      <c r="D4" s="273">
        <f>2500/1.5</f>
        <v>1666.6666666666667</v>
      </c>
      <c r="E4" s="272" t="s">
        <v>287</v>
      </c>
      <c r="F4" s="273">
        <f>D4*0.0175*24</f>
        <v>700.00000000000011</v>
      </c>
      <c r="G4" s="270" t="s">
        <v>464</v>
      </c>
    </row>
    <row r="5" spans="1:7" ht="36" customHeight="1">
      <c r="A5" s="270">
        <v>3</v>
      </c>
      <c r="B5" s="31" t="s">
        <v>61</v>
      </c>
      <c r="C5" s="30" t="s">
        <v>389</v>
      </c>
      <c r="D5" s="43">
        <f>'25_Пар'!$G$8</f>
        <v>22.356710059633865</v>
      </c>
      <c r="E5" s="43" t="s">
        <v>287</v>
      </c>
      <c r="F5" s="32">
        <f>D5*24*0.5</f>
        <v>268.28052071560637</v>
      </c>
      <c r="G5" s="30" t="s">
        <v>465</v>
      </c>
    </row>
    <row r="6" spans="1:7" ht="64">
      <c r="A6" s="270">
        <v>4</v>
      </c>
      <c r="B6" s="31" t="s">
        <v>466</v>
      </c>
      <c r="C6" s="30" t="s">
        <v>467</v>
      </c>
      <c r="D6" s="32">
        <f>'28-2_Хоз-быт'!C3</f>
        <v>351.67999999999995</v>
      </c>
      <c r="E6" s="43" t="s">
        <v>287</v>
      </c>
      <c r="F6" s="263">
        <f>'28-2_Хоз-быт'!C13</f>
        <v>52.292000000000002</v>
      </c>
      <c r="G6" s="32" t="s">
        <v>985</v>
      </c>
    </row>
    <row r="7" spans="1:7" ht="48">
      <c r="A7" s="270">
        <v>5</v>
      </c>
      <c r="B7" s="31" t="s">
        <v>468</v>
      </c>
      <c r="C7" s="30" t="s">
        <v>469</v>
      </c>
      <c r="D7" s="273">
        <f>F3+F4+F5+F6</f>
        <v>2717.5422176853031</v>
      </c>
      <c r="E7" s="43"/>
      <c r="F7" s="263">
        <f>D7/0.75-D7</f>
        <v>905.84740589510102</v>
      </c>
      <c r="G7" s="32" t="s">
        <v>987</v>
      </c>
    </row>
    <row r="8" spans="1:7" ht="18">
      <c r="A8" s="255"/>
      <c r="B8" s="101" t="s">
        <v>471</v>
      </c>
      <c r="C8" s="255" t="s">
        <v>287</v>
      </c>
      <c r="D8" s="255" t="s">
        <v>287</v>
      </c>
      <c r="E8" s="632" t="s">
        <v>287</v>
      </c>
      <c r="F8" s="258">
        <f>F3+F4+F5+F6+F7</f>
        <v>3623.3896235804041</v>
      </c>
      <c r="G8" s="255" t="s">
        <v>287</v>
      </c>
    </row>
    <row r="9" spans="1:7" ht="18">
      <c r="A9" s="255"/>
      <c r="B9" s="101" t="s">
        <v>472</v>
      </c>
      <c r="C9" s="255" t="s">
        <v>287</v>
      </c>
      <c r="D9" s="255" t="s">
        <v>287</v>
      </c>
      <c r="E9" s="632" t="s">
        <v>287</v>
      </c>
      <c r="F9" s="633">
        <f>F8/24</f>
        <v>150.97456764918351</v>
      </c>
      <c r="G9" s="255" t="s">
        <v>287</v>
      </c>
    </row>
    <row r="10" spans="1:7" ht="18">
      <c r="A10" s="701"/>
      <c r="B10" s="101" t="s">
        <v>1127</v>
      </c>
      <c r="C10" s="255"/>
      <c r="D10" s="255"/>
      <c r="E10" s="632"/>
      <c r="F10" s="258">
        <f>F8*C12</f>
        <v>1195718.5757815333</v>
      </c>
      <c r="G10" s="255"/>
    </row>
    <row r="11" spans="1:7">
      <c r="A11" s="221"/>
      <c r="B11" s="274"/>
      <c r="C11" s="221"/>
      <c r="D11" s="221"/>
      <c r="E11" s="221"/>
      <c r="F11" s="275"/>
      <c r="G11" s="221"/>
    </row>
    <row r="12" spans="1:7" ht="16">
      <c r="B12" s="612" t="s">
        <v>932</v>
      </c>
      <c r="C12" s="613">
        <f>'0_Допущения'!$C$8</f>
        <v>330</v>
      </c>
    </row>
    <row r="13" spans="1:7" ht="16">
      <c r="B13" s="612" t="s">
        <v>933</v>
      </c>
      <c r="C13" s="613">
        <f>'0_Допущения'!$C$9</f>
        <v>7920</v>
      </c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2B619-3767-D540-8384-622378881FDF}">
  <sheetPr>
    <pageSetUpPr fitToPage="1"/>
  </sheetPr>
  <dimension ref="A1:F14"/>
  <sheetViews>
    <sheetView workbookViewId="0">
      <selection sqref="A1:E14"/>
    </sheetView>
  </sheetViews>
  <sheetFormatPr baseColWidth="10" defaultColWidth="8.83203125" defaultRowHeight="15"/>
  <cols>
    <col min="1" max="1" width="5.33203125" style="3" customWidth="1"/>
    <col min="2" max="2" width="28" style="3" customWidth="1"/>
    <col min="3" max="3" width="7.6640625" style="3" bestFit="1" customWidth="1"/>
    <col min="4" max="4" width="12.6640625" style="3" bestFit="1" customWidth="1"/>
    <col min="5" max="5" width="26.6640625" style="3" customWidth="1"/>
    <col min="6" max="6" width="11.6640625" style="3" bestFit="1" customWidth="1"/>
    <col min="7" max="16384" width="8.83203125" style="3"/>
  </cols>
  <sheetData>
    <row r="1" spans="1:6" ht="26.25" customHeight="1">
      <c r="A1" s="849" t="s">
        <v>1199</v>
      </c>
      <c r="B1" s="849"/>
      <c r="C1" s="849"/>
      <c r="D1" s="849"/>
      <c r="E1" s="769" t="s">
        <v>1235</v>
      </c>
    </row>
    <row r="2" spans="1:6" ht="32">
      <c r="A2" s="625" t="s">
        <v>18</v>
      </c>
      <c r="B2" s="625" t="s">
        <v>58</v>
      </c>
      <c r="C2" s="625" t="s">
        <v>1</v>
      </c>
      <c r="D2" s="625" t="s">
        <v>461</v>
      </c>
      <c r="E2" s="625" t="s">
        <v>443</v>
      </c>
    </row>
    <row r="3" spans="1:6" ht="18">
      <c r="A3" s="270">
        <v>1</v>
      </c>
      <c r="B3" s="271" t="s">
        <v>931</v>
      </c>
      <c r="C3" s="270" t="s">
        <v>469</v>
      </c>
      <c r="D3" s="273">
        <f>'27_Вода'!F3</f>
        <v>1696.969696969697</v>
      </c>
      <c r="E3" s="270" t="s">
        <v>800</v>
      </c>
    </row>
    <row r="4" spans="1:6" ht="32">
      <c r="A4" s="270">
        <v>2</v>
      </c>
      <c r="B4" s="31" t="s">
        <v>468</v>
      </c>
      <c r="C4" s="270" t="s">
        <v>469</v>
      </c>
      <c r="D4" s="402">
        <f>'27_Вода'!F7</f>
        <v>905.84740589510102</v>
      </c>
      <c r="E4" s="32" t="s">
        <v>470</v>
      </c>
    </row>
    <row r="5" spans="1:6" ht="64">
      <c r="A5" s="270">
        <v>3</v>
      </c>
      <c r="B5" s="31" t="s">
        <v>466</v>
      </c>
      <c r="C5" s="270" t="s">
        <v>469</v>
      </c>
      <c r="D5" s="32">
        <f>'28-2_Хоз-быт'!C13</f>
        <v>52.292000000000002</v>
      </c>
      <c r="E5" s="32" t="s">
        <v>985</v>
      </c>
    </row>
    <row r="6" spans="1:6" ht="18">
      <c r="A6" s="270">
        <v>4</v>
      </c>
      <c r="B6" s="31" t="s">
        <v>1002</v>
      </c>
      <c r="C6" s="270" t="s">
        <v>469</v>
      </c>
      <c r="D6" s="32">
        <f>'28-1_Ливневка'!F3</f>
        <v>358.02739726027397</v>
      </c>
      <c r="E6" s="32" t="s">
        <v>895</v>
      </c>
    </row>
    <row r="7" spans="1:6" ht="18">
      <c r="A7" s="30"/>
      <c r="B7" s="47" t="s">
        <v>471</v>
      </c>
      <c r="C7" s="30" t="s">
        <v>287</v>
      </c>
      <c r="D7" s="32">
        <f>SUM(D3:D6)</f>
        <v>3013.136500125072</v>
      </c>
      <c r="E7" s="30" t="s">
        <v>287</v>
      </c>
    </row>
    <row r="8" spans="1:6" ht="18">
      <c r="A8" s="30"/>
      <c r="B8" s="47" t="s">
        <v>472</v>
      </c>
      <c r="C8" s="30" t="s">
        <v>287</v>
      </c>
      <c r="D8" s="32">
        <f>D7/24</f>
        <v>125.547354171878</v>
      </c>
      <c r="E8" s="30" t="s">
        <v>287</v>
      </c>
    </row>
    <row r="9" spans="1:6" ht="18">
      <c r="A9" s="626"/>
      <c r="B9" s="642" t="s">
        <v>1003</v>
      </c>
      <c r="C9" s="270" t="s">
        <v>469</v>
      </c>
      <c r="D9" s="32">
        <f>D3+D4+D5-D10</f>
        <v>2257.1091028647979</v>
      </c>
      <c r="E9" s="270" t="s">
        <v>1126</v>
      </c>
      <c r="F9" s="402">
        <f>D9*$C$14</f>
        <v>744846.00394538336</v>
      </c>
    </row>
    <row r="10" spans="1:6" ht="18">
      <c r="B10" s="643" t="s">
        <v>1004</v>
      </c>
      <c r="C10" s="270" t="s">
        <v>469</v>
      </c>
      <c r="D10" s="32">
        <v>398</v>
      </c>
      <c r="E10" s="270" t="s">
        <v>1126</v>
      </c>
    </row>
    <row r="11" spans="1:6" ht="18">
      <c r="B11" s="643" t="s">
        <v>1005</v>
      </c>
      <c r="C11" s="270" t="s">
        <v>469</v>
      </c>
      <c r="D11" s="32">
        <f>D6</f>
        <v>358.02739726027397</v>
      </c>
      <c r="E11" s="270" t="s">
        <v>1126</v>
      </c>
    </row>
    <row r="12" spans="1:6" ht="24" customHeight="1">
      <c r="B12" s="641" t="s">
        <v>3</v>
      </c>
      <c r="C12" s="644" t="s">
        <v>1006</v>
      </c>
      <c r="D12" s="51">
        <f>SUM(D9:D11)</f>
        <v>3013.136500125072</v>
      </c>
      <c r="E12" s="402"/>
    </row>
    <row r="14" spans="1:6" ht="16">
      <c r="B14" s="3" t="s">
        <v>932</v>
      </c>
      <c r="C14" s="3">
        <f>'0_Допущения'!C8</f>
        <v>330</v>
      </c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D8F2D-0A31-A04B-9F36-F1C2EA75DF25}">
  <dimension ref="A1:F3"/>
  <sheetViews>
    <sheetView zoomScale="120" zoomScaleNormal="120" workbookViewId="0">
      <selection sqref="A1:F3"/>
    </sheetView>
  </sheetViews>
  <sheetFormatPr baseColWidth="10" defaultRowHeight="15"/>
  <cols>
    <col min="1" max="1" width="10.83203125" style="3"/>
    <col min="2" max="2" width="23.83203125" style="3" customWidth="1"/>
    <col min="3" max="3" width="16.5" style="3" customWidth="1"/>
    <col min="4" max="4" width="10.83203125" style="3"/>
    <col min="5" max="5" width="13.83203125" style="3" customWidth="1"/>
    <col min="6" max="6" width="12.1640625" style="3" customWidth="1"/>
    <col min="7" max="16384" width="10.83203125" style="3"/>
  </cols>
  <sheetData>
    <row r="1" spans="1:6" ht="24" customHeight="1">
      <c r="A1" s="796" t="s">
        <v>994</v>
      </c>
      <c r="B1" s="796"/>
      <c r="C1" s="796"/>
      <c r="D1" s="796"/>
      <c r="E1" s="65" t="s">
        <v>147</v>
      </c>
      <c r="F1" s="586" t="s">
        <v>1236</v>
      </c>
    </row>
    <row r="2" spans="1:6" ht="64">
      <c r="A2" s="625" t="s">
        <v>995</v>
      </c>
      <c r="B2" s="625" t="s">
        <v>996</v>
      </c>
      <c r="C2" s="625" t="s">
        <v>997</v>
      </c>
      <c r="D2" s="625" t="s">
        <v>998</v>
      </c>
      <c r="E2" s="625" t="s">
        <v>999</v>
      </c>
      <c r="F2" s="625" t="s">
        <v>1001</v>
      </c>
    </row>
    <row r="3" spans="1:6">
      <c r="A3" s="32">
        <f>'0_Допущения'!C23</f>
        <v>300000</v>
      </c>
      <c r="B3" s="30">
        <v>484</v>
      </c>
      <c r="C3" s="32">
        <f>A3*B3/1000</f>
        <v>145200</v>
      </c>
      <c r="D3" s="42">
        <v>0.1</v>
      </c>
      <c r="E3" s="32">
        <f>C3*(1-D3)</f>
        <v>130680</v>
      </c>
      <c r="F3" s="32">
        <f>E3/365</f>
        <v>358.02739726027397</v>
      </c>
    </row>
  </sheetData>
  <mergeCells count="1">
    <mergeCell ref="A1:D1"/>
  </mergeCells>
  <pageMargins left="0.7" right="0.7" top="0.75" bottom="0.75" header="0.3" footer="0.3"/>
  <pageSetup paperSize="9" orientation="landscape" horizontalDpi="0" verticalDpi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7F6A6-654E-0740-B2C6-28B1EF3EC1E8}">
  <sheetPr>
    <pageSetUpPr fitToPage="1"/>
  </sheetPr>
  <dimension ref="A1:G18"/>
  <sheetViews>
    <sheetView zoomScale="130" zoomScaleNormal="130" zoomScalePageLayoutView="130" workbookViewId="0">
      <selection sqref="A1:D13"/>
    </sheetView>
  </sheetViews>
  <sheetFormatPr baseColWidth="10" defaultColWidth="9.1640625" defaultRowHeight="15"/>
  <cols>
    <col min="1" max="1" width="5.1640625" style="3" customWidth="1"/>
    <col min="2" max="2" width="50" style="3" customWidth="1"/>
    <col min="3" max="3" width="14.6640625" style="3" customWidth="1"/>
    <col min="4" max="4" width="23" style="3" customWidth="1"/>
    <col min="5" max="16384" width="9.1640625" style="3"/>
  </cols>
  <sheetData>
    <row r="1" spans="1:7" ht="29.25" customHeight="1">
      <c r="A1" s="886" t="s">
        <v>1200</v>
      </c>
      <c r="B1" s="886"/>
      <c r="C1" s="886"/>
      <c r="D1" s="638" t="s">
        <v>1237</v>
      </c>
    </row>
    <row r="2" spans="1:7" ht="32">
      <c r="A2" s="57" t="s">
        <v>62</v>
      </c>
      <c r="B2" s="58" t="s">
        <v>63</v>
      </c>
      <c r="C2" s="57" t="s">
        <v>473</v>
      </c>
      <c r="D2" s="57" t="s">
        <v>474</v>
      </c>
    </row>
    <row r="3" spans="1:7" ht="16">
      <c r="A3" s="30">
        <v>1</v>
      </c>
      <c r="B3" s="31" t="s">
        <v>475</v>
      </c>
      <c r="C3" s="32">
        <f>'12_ФОТ'!J68</f>
        <v>351.67999999999995</v>
      </c>
      <c r="D3" s="276" t="s">
        <v>476</v>
      </c>
    </row>
    <row r="4" spans="1:7" ht="48">
      <c r="A4" s="30">
        <f>A3+1</f>
        <v>2</v>
      </c>
      <c r="B4" s="31" t="s">
        <v>477</v>
      </c>
      <c r="C4" s="32">
        <f>'12_ФОТ'!E69</f>
        <v>87</v>
      </c>
      <c r="D4" s="276" t="s">
        <v>478</v>
      </c>
      <c r="G4" s="65"/>
    </row>
    <row r="5" spans="1:7" ht="16">
      <c r="A5" s="30">
        <f t="shared" ref="A5:A11" si="0">A4+1</f>
        <v>3</v>
      </c>
      <c r="B5" s="31" t="s">
        <v>479</v>
      </c>
      <c r="C5" s="32">
        <v>3</v>
      </c>
      <c r="D5" s="276" t="s">
        <v>480</v>
      </c>
    </row>
    <row r="6" spans="1:7" ht="16">
      <c r="A6" s="30">
        <f t="shared" si="0"/>
        <v>4</v>
      </c>
      <c r="B6" s="31" t="s">
        <v>481</v>
      </c>
      <c r="C6" s="32">
        <f>C4/C5</f>
        <v>29</v>
      </c>
      <c r="D6" s="276" t="s">
        <v>482</v>
      </c>
    </row>
    <row r="7" spans="1:7" ht="32">
      <c r="A7" s="30">
        <f t="shared" si="0"/>
        <v>5</v>
      </c>
      <c r="B7" s="31" t="s">
        <v>483</v>
      </c>
      <c r="C7" s="32">
        <v>25</v>
      </c>
      <c r="D7" s="276" t="s">
        <v>484</v>
      </c>
    </row>
    <row r="8" spans="1:7" ht="32">
      <c r="A8" s="30">
        <f t="shared" si="0"/>
        <v>6</v>
      </c>
      <c r="B8" s="31" t="s">
        <v>485</v>
      </c>
      <c r="C8" s="32">
        <v>500</v>
      </c>
      <c r="D8" s="276" t="s">
        <v>486</v>
      </c>
    </row>
    <row r="9" spans="1:7" ht="32">
      <c r="A9" s="30">
        <f t="shared" si="0"/>
        <v>7</v>
      </c>
      <c r="B9" s="31" t="s">
        <v>487</v>
      </c>
      <c r="C9" s="32">
        <v>3</v>
      </c>
      <c r="D9" s="276" t="s">
        <v>488</v>
      </c>
    </row>
    <row r="10" spans="1:7" ht="32">
      <c r="A10" s="30">
        <f t="shared" si="0"/>
        <v>8</v>
      </c>
      <c r="B10" s="31" t="s">
        <v>489</v>
      </c>
      <c r="C10" s="32">
        <f>C3*C7</f>
        <v>8791.9999999999982</v>
      </c>
      <c r="D10" s="276" t="s">
        <v>490</v>
      </c>
    </row>
    <row r="11" spans="1:7" ht="17" thickBot="1">
      <c r="A11" s="277">
        <f t="shared" si="0"/>
        <v>9</v>
      </c>
      <c r="B11" s="278" t="s">
        <v>491</v>
      </c>
      <c r="C11" s="279">
        <f>C6*C8*C9</f>
        <v>43500</v>
      </c>
      <c r="D11" s="280" t="s">
        <v>492</v>
      </c>
    </row>
    <row r="12" spans="1:7" ht="17" thickTop="1">
      <c r="A12" s="281"/>
      <c r="B12" s="282" t="s">
        <v>493</v>
      </c>
      <c r="C12" s="283">
        <f>C10+C11</f>
        <v>52292</v>
      </c>
      <c r="D12" s="281"/>
    </row>
    <row r="13" spans="1:7" ht="16">
      <c r="A13" s="30"/>
      <c r="B13" s="47" t="s">
        <v>494</v>
      </c>
      <c r="C13" s="51">
        <f>C12/1000</f>
        <v>52.292000000000002</v>
      </c>
      <c r="D13" s="30"/>
    </row>
    <row r="14" spans="1:7">
      <c r="C14" s="183"/>
    </row>
    <row r="15" spans="1:7" ht="16">
      <c r="A15" s="224"/>
      <c r="B15" s="284"/>
      <c r="C15" s="285"/>
      <c r="D15" s="285"/>
      <c r="E15"/>
      <c r="F15"/>
      <c r="G15"/>
    </row>
    <row r="16" spans="1:7" ht="16">
      <c r="A16" s="224"/>
      <c r="B16" s="286"/>
      <c r="C16" s="285"/>
      <c r="D16" s="286"/>
      <c r="E16"/>
      <c r="F16"/>
    </row>
    <row r="17" spans="1:4">
      <c r="A17" s="224"/>
      <c r="B17" s="224"/>
      <c r="C17" s="287"/>
      <c r="D17" s="224"/>
    </row>
    <row r="18" spans="1:4">
      <c r="C18" s="183"/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BC498-5FE7-E540-B09A-EC5CA832E5D9}">
  <dimension ref="A1:F17"/>
  <sheetViews>
    <sheetView zoomScale="120" zoomScaleNormal="120" workbookViewId="0">
      <selection sqref="A1:E14"/>
    </sheetView>
  </sheetViews>
  <sheetFormatPr baseColWidth="10" defaultColWidth="9.1640625" defaultRowHeight="15"/>
  <cols>
    <col min="1" max="1" width="4.1640625" style="3" bestFit="1" customWidth="1"/>
    <col min="2" max="2" width="40.5" style="6" customWidth="1"/>
    <col min="3" max="3" width="9.6640625" style="3" bestFit="1" customWidth="1"/>
    <col min="4" max="4" width="11.1640625" style="3" bestFit="1" customWidth="1"/>
    <col min="5" max="5" width="22.83203125" style="3" customWidth="1"/>
    <col min="6" max="6" width="51" style="3" customWidth="1"/>
    <col min="7" max="16384" width="9.1640625" style="3"/>
  </cols>
  <sheetData>
    <row r="1" spans="1:6" ht="34" customHeight="1">
      <c r="A1" s="783" t="s">
        <v>588</v>
      </c>
      <c r="B1" s="783"/>
      <c r="C1" s="783"/>
      <c r="D1" s="783"/>
      <c r="E1" s="3" t="s">
        <v>673</v>
      </c>
    </row>
    <row r="2" spans="1:6" ht="48">
      <c r="A2" s="382" t="s">
        <v>18</v>
      </c>
      <c r="B2" s="383" t="s">
        <v>213</v>
      </c>
      <c r="C2" s="382" t="s">
        <v>214</v>
      </c>
      <c r="D2" s="382" t="s">
        <v>215</v>
      </c>
      <c r="E2" s="382" t="s">
        <v>208</v>
      </c>
    </row>
    <row r="3" spans="1:6" ht="16">
      <c r="A3" s="2">
        <v>1</v>
      </c>
      <c r="B3" s="5" t="s">
        <v>365</v>
      </c>
      <c r="C3" s="4">
        <v>100000</v>
      </c>
      <c r="D3" s="4">
        <f>C3-C3*'20_Tax'!$C$4</f>
        <v>80000</v>
      </c>
      <c r="E3" s="4" t="s">
        <v>395</v>
      </c>
    </row>
    <row r="4" spans="1:6" ht="16">
      <c r="A4" s="2">
        <f t="shared" ref="A4:A11" si="0">A3+1</f>
        <v>2</v>
      </c>
      <c r="B4" s="5" t="s">
        <v>366</v>
      </c>
      <c r="C4" s="4">
        <v>2000</v>
      </c>
      <c r="D4" s="4">
        <f t="shared" ref="D4:D10" si="1">C4/1.2</f>
        <v>1666.6666666666667</v>
      </c>
      <c r="E4" s="4" t="s">
        <v>372</v>
      </c>
    </row>
    <row r="5" spans="1:6" ht="16">
      <c r="A5" s="2">
        <f t="shared" si="0"/>
        <v>3</v>
      </c>
      <c r="B5" s="5" t="s">
        <v>367</v>
      </c>
      <c r="C5" s="4">
        <v>1000</v>
      </c>
      <c r="D5" s="4">
        <f t="shared" si="1"/>
        <v>833.33333333333337</v>
      </c>
      <c r="E5" s="4" t="s">
        <v>372</v>
      </c>
    </row>
    <row r="6" spans="1:6" ht="16">
      <c r="A6" s="2">
        <f t="shared" si="0"/>
        <v>4</v>
      </c>
      <c r="B6" s="5" t="s">
        <v>368</v>
      </c>
      <c r="C6" s="4">
        <v>1000</v>
      </c>
      <c r="D6" s="4">
        <f t="shared" si="1"/>
        <v>833.33333333333337</v>
      </c>
      <c r="E6" s="4" t="s">
        <v>372</v>
      </c>
    </row>
    <row r="7" spans="1:6" ht="16">
      <c r="A7" s="2">
        <f t="shared" si="0"/>
        <v>5</v>
      </c>
      <c r="B7" s="5" t="s">
        <v>1207</v>
      </c>
      <c r="C7" s="4">
        <v>1500</v>
      </c>
      <c r="D7" s="4">
        <f t="shared" si="1"/>
        <v>1250</v>
      </c>
      <c r="E7" s="4" t="s">
        <v>372</v>
      </c>
    </row>
    <row r="8" spans="1:6" ht="16">
      <c r="A8" s="2">
        <f t="shared" si="0"/>
        <v>6</v>
      </c>
      <c r="B8" s="5" t="s">
        <v>369</v>
      </c>
      <c r="C8" s="4">
        <v>1000</v>
      </c>
      <c r="D8" s="4">
        <f t="shared" si="1"/>
        <v>833.33333333333337</v>
      </c>
      <c r="E8" s="4" t="s">
        <v>372</v>
      </c>
    </row>
    <row r="9" spans="1:6" ht="32">
      <c r="A9" s="2">
        <f t="shared" si="0"/>
        <v>7</v>
      </c>
      <c r="B9" s="5" t="s">
        <v>370</v>
      </c>
      <c r="C9" s="4">
        <f>10%*C3</f>
        <v>10000</v>
      </c>
      <c r="D9" s="4">
        <f t="shared" si="1"/>
        <v>8333.3333333333339</v>
      </c>
      <c r="E9" s="4" t="s">
        <v>372</v>
      </c>
    </row>
    <row r="10" spans="1:6" ht="48">
      <c r="A10" s="2">
        <f t="shared" si="0"/>
        <v>8</v>
      </c>
      <c r="B10" s="5" t="s">
        <v>371</v>
      </c>
      <c r="C10" s="4">
        <f>10%*C3</f>
        <v>10000</v>
      </c>
      <c r="D10" s="4">
        <f t="shared" si="1"/>
        <v>8333.3333333333339</v>
      </c>
      <c r="E10" s="4" t="s">
        <v>1209</v>
      </c>
      <c r="F10" s="637" t="s">
        <v>1210</v>
      </c>
    </row>
    <row r="11" spans="1:6" ht="16">
      <c r="A11" s="2">
        <f t="shared" si="0"/>
        <v>9</v>
      </c>
      <c r="B11" s="31" t="s">
        <v>374</v>
      </c>
      <c r="C11" s="32">
        <f>1065*1.2</f>
        <v>1278</v>
      </c>
      <c r="D11" s="4">
        <f>C11/1.2</f>
        <v>1065</v>
      </c>
      <c r="E11" s="4" t="s">
        <v>372</v>
      </c>
    </row>
    <row r="12" spans="1:6" ht="16">
      <c r="A12" s="30"/>
      <c r="B12" s="31" t="s">
        <v>1208</v>
      </c>
      <c r="C12" s="32">
        <f>2550*1.2</f>
        <v>3060</v>
      </c>
      <c r="D12" s="4">
        <f>C12/1.2</f>
        <v>2550</v>
      </c>
      <c r="E12" s="32" t="s">
        <v>395</v>
      </c>
    </row>
    <row r="13" spans="1:6" ht="16">
      <c r="A13" s="30">
        <v>11</v>
      </c>
      <c r="B13" s="31" t="s">
        <v>1211</v>
      </c>
      <c r="C13" s="32">
        <f>5%*SUM(C3:C12)</f>
        <v>6541.9000000000005</v>
      </c>
      <c r="D13" s="4">
        <f>C13/1.2</f>
        <v>5451.5833333333339</v>
      </c>
      <c r="E13" s="4" t="s">
        <v>373</v>
      </c>
    </row>
    <row r="14" spans="1:6" ht="16">
      <c r="A14" s="146"/>
      <c r="B14" s="124" t="s">
        <v>3</v>
      </c>
      <c r="C14" s="147">
        <f>SUM(C3:C11)</f>
        <v>127778</v>
      </c>
      <c r="D14" s="147">
        <f>SUM(D3:D10)</f>
        <v>102083.33333333331</v>
      </c>
      <c r="E14" s="147"/>
    </row>
    <row r="16" spans="1:6" ht="16">
      <c r="B16" s="6" t="s">
        <v>75</v>
      </c>
      <c r="C16" s="3">
        <f>'0_Допущения'!C12</f>
        <v>102.0271</v>
      </c>
    </row>
    <row r="17" spans="3:3">
      <c r="C17" s="6"/>
    </row>
  </sheetData>
  <mergeCells count="1">
    <mergeCell ref="A1:D1"/>
  </mergeCells>
  <hyperlinks>
    <hyperlink ref="F10" r:id="rId1" xr:uid="{8BA5030F-C437-C545-8355-FBA94B10455D}"/>
  </hyperlinks>
  <pageMargins left="0.7" right="0.7" top="0.75" bottom="0.75" header="0.3" footer="0.3"/>
  <pageSetup paperSize="9" orientation="landscape" horizontalDpi="0" verticalDpi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871D0-EC1C-2B48-87F3-0FA9546F613B}">
  <dimension ref="A1:E11"/>
  <sheetViews>
    <sheetView zoomScale="120" zoomScaleNormal="120" workbookViewId="0">
      <selection activeCell="F34" sqref="F34"/>
    </sheetView>
  </sheetViews>
  <sheetFormatPr baseColWidth="10" defaultRowHeight="15"/>
  <cols>
    <col min="1" max="1" width="4.6640625" style="3" customWidth="1"/>
    <col min="2" max="2" width="28.33203125" style="3" customWidth="1"/>
    <col min="3" max="3" width="9.1640625" style="3" customWidth="1"/>
    <col min="4" max="16384" width="10.83203125" style="3"/>
  </cols>
  <sheetData>
    <row r="1" spans="1:5" ht="20" customHeight="1">
      <c r="A1" s="796" t="s">
        <v>1177</v>
      </c>
      <c r="B1" s="796"/>
      <c r="C1" s="796"/>
      <c r="D1" s="796"/>
      <c r="E1" s="3" t="s">
        <v>1238</v>
      </c>
    </row>
    <row r="2" spans="1:5" ht="32">
      <c r="A2" s="634" t="s">
        <v>18</v>
      </c>
      <c r="B2" s="634" t="s">
        <v>1174</v>
      </c>
      <c r="C2" s="634" t="s">
        <v>1</v>
      </c>
      <c r="D2" s="634" t="s">
        <v>890</v>
      </c>
      <c r="E2" s="634" t="s">
        <v>1179</v>
      </c>
    </row>
    <row r="3" spans="1:5" ht="16">
      <c r="A3" s="30">
        <v>1</v>
      </c>
      <c r="B3" s="31" t="s">
        <v>1175</v>
      </c>
      <c r="C3" s="30" t="s">
        <v>854</v>
      </c>
      <c r="D3" s="32">
        <v>6000</v>
      </c>
      <c r="E3" s="32">
        <f>D3*D10</f>
        <v>544143.6</v>
      </c>
    </row>
    <row r="4" spans="1:5" ht="16">
      <c r="A4" s="30">
        <v>2</v>
      </c>
      <c r="B4" s="31" t="s">
        <v>1176</v>
      </c>
      <c r="C4" s="30" t="s">
        <v>37</v>
      </c>
      <c r="D4" s="32">
        <v>1000</v>
      </c>
      <c r="E4" s="32">
        <f>D4</f>
        <v>1000</v>
      </c>
    </row>
    <row r="5" spans="1:5" ht="16">
      <c r="A5" s="30">
        <v>3</v>
      </c>
      <c r="B5" s="31" t="s">
        <v>1178</v>
      </c>
      <c r="C5" s="30" t="s">
        <v>37</v>
      </c>
      <c r="D5" s="32">
        <v>3000</v>
      </c>
      <c r="E5" s="32">
        <f>D5</f>
        <v>3000</v>
      </c>
    </row>
    <row r="9" spans="1:5" ht="16">
      <c r="B9" s="3" t="str">
        <f>'0_Допущения'!A12</f>
        <v>Курс Евро</v>
      </c>
      <c r="C9" s="3" t="str">
        <f>'0_Допущения'!B12</f>
        <v>руб.</v>
      </c>
      <c r="D9" s="745">
        <f>'0_Допущения'!C12</f>
        <v>102.0271</v>
      </c>
    </row>
    <row r="10" spans="1:5" ht="16">
      <c r="B10" s="3" t="str">
        <f>'0_Допущения'!A13</f>
        <v>Курс USD</v>
      </c>
      <c r="C10" s="3" t="str">
        <f>'0_Допущения'!B13</f>
        <v>руб.</v>
      </c>
      <c r="D10" s="745">
        <f>'0_Допущения'!C13</f>
        <v>90.690600000000003</v>
      </c>
    </row>
    <row r="11" spans="1:5" ht="16">
      <c r="B11" s="3" t="str">
        <f>'0_Допущения'!A14</f>
        <v>Курс юаня</v>
      </c>
      <c r="C11" s="3" t="str">
        <f>'0_Допущения'!B14</f>
        <v>руб.</v>
      </c>
      <c r="D11" s="745">
        <f>'0_Допущения'!C14</f>
        <v>12.6351</v>
      </c>
    </row>
  </sheetData>
  <mergeCells count="1">
    <mergeCell ref="A1:D1"/>
  </mergeCells>
  <pageMargins left="0.7" right="0.7" top="0.75" bottom="0.75" header="0.3" footer="0.3"/>
  <pageSetup paperSize="9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8B3B3-78EC-DA42-8DCC-D4B190B103EB}">
  <sheetPr>
    <pageSetUpPr fitToPage="1"/>
  </sheetPr>
  <dimension ref="A1:O28"/>
  <sheetViews>
    <sheetView zoomScale="120" zoomScaleNormal="120" workbookViewId="0">
      <pane xSplit="2" ySplit="2" topLeftCell="C3" activePane="bottomRight" state="frozen"/>
      <selection activeCell="B10" sqref="B10"/>
      <selection pane="topRight" activeCell="B10" sqref="B10"/>
      <selection pane="bottomLeft" activeCell="B10" sqref="B10"/>
      <selection pane="bottomRight" sqref="A1:N28"/>
    </sheetView>
  </sheetViews>
  <sheetFormatPr baseColWidth="10" defaultColWidth="9.1640625" defaultRowHeight="15"/>
  <cols>
    <col min="1" max="1" width="6.6640625" style="3" bestFit="1" customWidth="1"/>
    <col min="2" max="2" width="28.5" style="3" customWidth="1"/>
    <col min="3" max="3" width="9.6640625" style="3" customWidth="1"/>
    <col min="4" max="4" width="14.83203125" style="3" bestFit="1" customWidth="1"/>
    <col min="5" max="5" width="11.1640625" style="3" bestFit="1" customWidth="1"/>
    <col min="6" max="6" width="13.5" style="3" bestFit="1" customWidth="1"/>
    <col min="7" max="7" width="12.1640625" style="3" bestFit="1" customWidth="1"/>
    <col min="8" max="8" width="12.1640625" style="3" customWidth="1"/>
    <col min="9" max="9" width="11.1640625" style="3" bestFit="1" customWidth="1"/>
    <col min="10" max="10" width="13.33203125" style="3" bestFit="1" customWidth="1"/>
    <col min="11" max="11" width="9.5" style="3" bestFit="1" customWidth="1"/>
    <col min="12" max="12" width="14.1640625" style="3" bestFit="1" customWidth="1"/>
    <col min="13" max="13" width="18.83203125" style="3" customWidth="1"/>
    <col min="14" max="14" width="10.83203125" style="3" customWidth="1"/>
    <col min="15" max="15" width="106.1640625" style="3" customWidth="1"/>
    <col min="16" max="16384" width="9.1640625" style="3"/>
  </cols>
  <sheetData>
    <row r="1" spans="1:15" ht="23" customHeight="1">
      <c r="A1" s="794" t="s">
        <v>1116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65" t="s">
        <v>147</v>
      </c>
      <c r="M1" s="6">
        <v>5</v>
      </c>
    </row>
    <row r="2" spans="1:15" ht="32">
      <c r="A2" s="143" t="s">
        <v>62</v>
      </c>
      <c r="B2" s="143" t="s">
        <v>202</v>
      </c>
      <c r="C2" s="530" t="s">
        <v>1</v>
      </c>
      <c r="D2" s="143" t="s">
        <v>44</v>
      </c>
      <c r="E2" s="143" t="s">
        <v>203</v>
      </c>
      <c r="F2" s="143" t="s">
        <v>204</v>
      </c>
      <c r="G2" s="143" t="s">
        <v>137</v>
      </c>
      <c r="H2" s="143" t="s">
        <v>205</v>
      </c>
      <c r="I2" s="143" t="s">
        <v>52</v>
      </c>
      <c r="J2" s="143" t="s">
        <v>206</v>
      </c>
      <c r="K2" s="143" t="s">
        <v>207</v>
      </c>
      <c r="L2" s="143" t="s">
        <v>221</v>
      </c>
      <c r="M2" s="143" t="s">
        <v>208</v>
      </c>
      <c r="N2" s="143" t="s">
        <v>649</v>
      </c>
    </row>
    <row r="3" spans="1:15" ht="16">
      <c r="A3" s="2">
        <v>1</v>
      </c>
      <c r="B3" s="128" t="s">
        <v>799</v>
      </c>
      <c r="C3" s="532" t="s">
        <v>801</v>
      </c>
      <c r="D3" s="528">
        <f>(185363000+3000000)/1.5*1.4</f>
        <v>175805466.66666666</v>
      </c>
      <c r="E3" s="528">
        <f>D3*$D$22*0</f>
        <v>0</v>
      </c>
      <c r="F3" s="528">
        <v>0</v>
      </c>
      <c r="G3" s="528">
        <f t="shared" ref="G3:G12" si="0">D3*$D$24</f>
        <v>17580546.666666668</v>
      </c>
      <c r="H3" s="528">
        <f>D3*$D$25*0</f>
        <v>0</v>
      </c>
      <c r="I3" s="528">
        <f>D3*2%</f>
        <v>3516109.333333333</v>
      </c>
      <c r="J3" s="528">
        <f>130000/$D$21</f>
        <v>10288.798664039066</v>
      </c>
      <c r="K3" s="528">
        <v>0</v>
      </c>
      <c r="L3" s="529">
        <f>SUM(D3:K3)*D21/1000</f>
        <v>2488008.0101055996</v>
      </c>
      <c r="M3" s="2" t="s">
        <v>800</v>
      </c>
      <c r="N3" s="223">
        <f>L3/1000*(1+'20_Tax'!$C$3)</f>
        <v>2786.5689713182719</v>
      </c>
    </row>
    <row r="4" spans="1:15" ht="16">
      <c r="A4" s="2">
        <v>2</v>
      </c>
      <c r="B4" s="128" t="s">
        <v>871</v>
      </c>
      <c r="C4" s="532" t="s">
        <v>2</v>
      </c>
      <c r="D4" s="529">
        <f>'5-1_ЛК'!F10</f>
        <v>10993.5</v>
      </c>
      <c r="E4" s="529">
        <f t="shared" ref="E4:E9" si="1">D4*$D$22</f>
        <v>219.87</v>
      </c>
      <c r="F4" s="529">
        <v>0</v>
      </c>
      <c r="G4" s="529">
        <f t="shared" si="0"/>
        <v>1099.3500000000001</v>
      </c>
      <c r="H4" s="529">
        <f>D4*$D$25</f>
        <v>109.935</v>
      </c>
      <c r="I4" s="529">
        <f>D4*D27</f>
        <v>109.935</v>
      </c>
      <c r="J4" s="529">
        <v>0</v>
      </c>
      <c r="K4" s="529">
        <v>0</v>
      </c>
      <c r="L4" s="529">
        <f>SUM(D4:K4)</f>
        <v>12532.59</v>
      </c>
      <c r="M4" s="570" t="s">
        <v>889</v>
      </c>
      <c r="N4" s="223">
        <f>L4/1000*(1+'20_Tax'!$C$3)</f>
        <v>14.036500800000002</v>
      </c>
    </row>
    <row r="5" spans="1:15" ht="33" customHeight="1">
      <c r="A5" s="2">
        <f>A3+1</f>
        <v>2</v>
      </c>
      <c r="B5" s="128" t="s">
        <v>1217</v>
      </c>
      <c r="C5" s="532" t="s">
        <v>2</v>
      </c>
      <c r="D5" s="529">
        <f>'5-2_ЦГ'!F12</f>
        <v>34070.833500000001</v>
      </c>
      <c r="E5" s="529">
        <f t="shared" si="1"/>
        <v>681.41667000000007</v>
      </c>
      <c r="F5" s="529">
        <v>0</v>
      </c>
      <c r="G5" s="529">
        <f t="shared" si="0"/>
        <v>3407.0833500000003</v>
      </c>
      <c r="H5" s="529">
        <v>0</v>
      </c>
      <c r="I5" s="529">
        <f>D5*$D$28</f>
        <v>1703.5416750000002</v>
      </c>
      <c r="J5" s="529">
        <v>0</v>
      </c>
      <c r="K5" s="529">
        <v>0</v>
      </c>
      <c r="L5" s="529">
        <f>SUM(D5:K5)</f>
        <v>39862.875195000001</v>
      </c>
      <c r="M5" s="570" t="s">
        <v>1218</v>
      </c>
      <c r="N5" s="223">
        <f>L5/1000*(1+'20_Tax'!$C$3)</f>
        <v>44.646420218400003</v>
      </c>
      <c r="O5" s="524"/>
    </row>
    <row r="6" spans="1:15" ht="32">
      <c r="A6" s="2">
        <f>A5+1</f>
        <v>3</v>
      </c>
      <c r="B6" s="5" t="s">
        <v>670</v>
      </c>
      <c r="C6" s="532" t="s">
        <v>2</v>
      </c>
      <c r="D6" s="529">
        <f>26665500/1.2/1000</f>
        <v>22221.25</v>
      </c>
      <c r="E6" s="529">
        <f t="shared" si="1"/>
        <v>444.42500000000001</v>
      </c>
      <c r="F6" s="529">
        <v>0</v>
      </c>
      <c r="G6" s="529">
        <f t="shared" si="0"/>
        <v>2222.125</v>
      </c>
      <c r="H6" s="529">
        <v>0</v>
      </c>
      <c r="I6" s="529">
        <f>D6*D27</f>
        <v>222.21250000000001</v>
      </c>
      <c r="J6" s="529">
        <v>0</v>
      </c>
      <c r="K6" s="529">
        <v>0</v>
      </c>
      <c r="L6" s="529">
        <f>SUM(D6:K6)</f>
        <v>25110.012500000001</v>
      </c>
      <c r="M6" s="2" t="s">
        <v>671</v>
      </c>
      <c r="N6" s="223">
        <f>L6/1000*(1+'20_Tax'!$C$3)</f>
        <v>28.123214000000001</v>
      </c>
    </row>
    <row r="7" spans="1:15" ht="32">
      <c r="A7" s="2">
        <f>A6+1</f>
        <v>4</v>
      </c>
      <c r="B7" s="5" t="s">
        <v>836</v>
      </c>
      <c r="C7" s="532" t="s">
        <v>2</v>
      </c>
      <c r="D7" s="529">
        <f>1226*(1+10%*3)</f>
        <v>1593.8</v>
      </c>
      <c r="E7" s="529">
        <f t="shared" si="1"/>
        <v>31.876000000000001</v>
      </c>
      <c r="F7" s="529">
        <v>0</v>
      </c>
      <c r="G7" s="528">
        <f t="shared" si="0"/>
        <v>159.38</v>
      </c>
      <c r="H7" s="529">
        <v>0</v>
      </c>
      <c r="I7" s="529">
        <f>D7*D28</f>
        <v>79.69</v>
      </c>
      <c r="J7" s="529">
        <v>0</v>
      </c>
      <c r="K7" s="529">
        <v>0</v>
      </c>
      <c r="L7" s="529">
        <f t="shared" ref="L7:L10" si="2">SUM(D7:K7)</f>
        <v>1864.7460000000001</v>
      </c>
      <c r="M7" s="2" t="s">
        <v>837</v>
      </c>
      <c r="N7" s="223">
        <f>L7/1000*(1+'20_Tax'!$C$3)</f>
        <v>2.0885155200000001</v>
      </c>
      <c r="O7" s="524" t="s">
        <v>838</v>
      </c>
    </row>
    <row r="8" spans="1:15" ht="32">
      <c r="A8" s="2">
        <f>A7+1</f>
        <v>5</v>
      </c>
      <c r="B8" s="5" t="s">
        <v>839</v>
      </c>
      <c r="C8" s="532" t="s">
        <v>2</v>
      </c>
      <c r="D8" s="529">
        <v>2715</v>
      </c>
      <c r="E8" s="529">
        <f t="shared" si="1"/>
        <v>54.300000000000004</v>
      </c>
      <c r="F8" s="529">
        <v>0</v>
      </c>
      <c r="G8" s="528">
        <f t="shared" si="0"/>
        <v>271.5</v>
      </c>
      <c r="H8" s="529">
        <v>1</v>
      </c>
      <c r="I8" s="529">
        <f>D8*D29</f>
        <v>0</v>
      </c>
      <c r="J8" s="529">
        <v>0</v>
      </c>
      <c r="K8" s="529">
        <v>0</v>
      </c>
      <c r="L8" s="529">
        <f t="shared" si="2"/>
        <v>3041.8</v>
      </c>
      <c r="M8" s="2" t="s">
        <v>840</v>
      </c>
      <c r="N8" s="223">
        <f>L8/1000*(1+'20_Tax'!$C$3)</f>
        <v>3.4068160000000005</v>
      </c>
    </row>
    <row r="9" spans="1:15" ht="32">
      <c r="A9" s="2">
        <f>A8+1</f>
        <v>6</v>
      </c>
      <c r="B9" s="5" t="s">
        <v>841</v>
      </c>
      <c r="C9" s="532" t="s">
        <v>2</v>
      </c>
      <c r="D9" s="529">
        <v>2716</v>
      </c>
      <c r="E9" s="529">
        <f t="shared" si="1"/>
        <v>54.32</v>
      </c>
      <c r="F9" s="529">
        <v>0</v>
      </c>
      <c r="G9" s="528">
        <f t="shared" si="0"/>
        <v>271.60000000000002</v>
      </c>
      <c r="H9" s="529">
        <v>2</v>
      </c>
      <c r="I9" s="529">
        <f>D9*D30</f>
        <v>0</v>
      </c>
      <c r="J9" s="529">
        <v>0</v>
      </c>
      <c r="K9" s="529">
        <v>0</v>
      </c>
      <c r="L9" s="529">
        <f t="shared" si="2"/>
        <v>3043.92</v>
      </c>
      <c r="M9" s="2" t="s">
        <v>843</v>
      </c>
      <c r="N9" s="223">
        <f>L9/1000*(1+'20_Tax'!$C$3)</f>
        <v>3.4091904000000004</v>
      </c>
      <c r="O9" s="524" t="s">
        <v>842</v>
      </c>
    </row>
    <row r="10" spans="1:15" ht="16">
      <c r="A10" s="2">
        <f>A9+1</f>
        <v>7</v>
      </c>
      <c r="B10" s="5" t="s">
        <v>351</v>
      </c>
      <c r="C10" s="532" t="s">
        <v>2</v>
      </c>
      <c r="D10" s="529">
        <f>10540*4</f>
        <v>42160</v>
      </c>
      <c r="E10" s="529">
        <f>D10*20%</f>
        <v>8432</v>
      </c>
      <c r="F10" s="529">
        <v>0</v>
      </c>
      <c r="G10" s="529">
        <f t="shared" si="0"/>
        <v>4216</v>
      </c>
      <c r="H10" s="529">
        <f>D10*$D$25</f>
        <v>421.6</v>
      </c>
      <c r="I10" s="529">
        <f>D10*0.5%</f>
        <v>210.8</v>
      </c>
      <c r="J10" s="529">
        <v>0</v>
      </c>
      <c r="K10" s="529">
        <v>0</v>
      </c>
      <c r="L10" s="529">
        <f t="shared" si="2"/>
        <v>55440.4</v>
      </c>
      <c r="M10" s="2" t="s">
        <v>988</v>
      </c>
      <c r="N10" s="223">
        <f>L10/1000*(1+'20_Tax'!$C$3)</f>
        <v>62.09324800000001</v>
      </c>
      <c r="O10" s="611" t="s">
        <v>989</v>
      </c>
    </row>
    <row r="11" spans="1:15" ht="16">
      <c r="A11" s="2">
        <f t="shared" ref="A11:A16" si="3">A10+1</f>
        <v>8</v>
      </c>
      <c r="B11" s="5" t="s">
        <v>352</v>
      </c>
      <c r="C11" s="532" t="s">
        <v>2</v>
      </c>
      <c r="D11" s="529">
        <f>130000/3/70.85*D19</f>
        <v>62401.896024464841</v>
      </c>
      <c r="E11" s="529">
        <f>D11*$D$22</f>
        <v>1248.0379204892968</v>
      </c>
      <c r="F11" s="529">
        <f>D11*$D$23</f>
        <v>1872.056880733945</v>
      </c>
      <c r="G11" s="529">
        <f t="shared" si="0"/>
        <v>6240.1896024464841</v>
      </c>
      <c r="H11" s="529">
        <f>D11*D25</f>
        <v>624.01896024464838</v>
      </c>
      <c r="I11" s="529">
        <f>D11*$D$27</f>
        <v>624.01896024464838</v>
      </c>
      <c r="J11" s="529">
        <v>0</v>
      </c>
      <c r="K11" s="529">
        <v>0</v>
      </c>
      <c r="L11" s="529">
        <f t="shared" ref="L11:L17" si="4">SUM(D11:K11)</f>
        <v>73010.218348623865</v>
      </c>
      <c r="M11" s="2" t="s">
        <v>353</v>
      </c>
      <c r="N11" s="223">
        <f>L11/1000*(1+'20_Tax'!$C$3)</f>
        <v>81.771444550458739</v>
      </c>
    </row>
    <row r="12" spans="1:15" ht="32">
      <c r="A12" s="2">
        <f t="shared" si="3"/>
        <v>9</v>
      </c>
      <c r="B12" s="5" t="s">
        <v>216</v>
      </c>
      <c r="C12" s="532" t="s">
        <v>990</v>
      </c>
      <c r="D12" s="144">
        <f>'23-2_Комп-р'!K5</f>
        <v>300924.76</v>
      </c>
      <c r="E12" s="144">
        <v>0</v>
      </c>
      <c r="F12" s="144">
        <v>0</v>
      </c>
      <c r="G12" s="144">
        <f t="shared" si="0"/>
        <v>30092.476000000002</v>
      </c>
      <c r="H12" s="144">
        <f>D12*$D$25</f>
        <v>3009.2476000000001</v>
      </c>
      <c r="I12" s="144">
        <f>D12*$D$27</f>
        <v>3009.2476000000001</v>
      </c>
      <c r="J12" s="144">
        <v>0</v>
      </c>
      <c r="K12" s="144">
        <v>0</v>
      </c>
      <c r="L12" s="529">
        <f>SUM(D12:K12)*D19/1000</f>
        <v>34386.778250715521</v>
      </c>
      <c r="M12" s="2" t="s">
        <v>991</v>
      </c>
      <c r="N12" s="223">
        <f>L12/1000*(1+'20_Tax'!$C$3)</f>
        <v>38.513191640801388</v>
      </c>
    </row>
    <row r="13" spans="1:15" ht="16">
      <c r="A13" s="2">
        <f t="shared" si="3"/>
        <v>10</v>
      </c>
      <c r="B13" s="5" t="s">
        <v>61</v>
      </c>
      <c r="C13" s="532" t="s">
        <v>2</v>
      </c>
      <c r="D13" s="529">
        <v>160000</v>
      </c>
      <c r="E13" s="529">
        <f>D13*$D$22</f>
        <v>3200</v>
      </c>
      <c r="F13" s="529">
        <v>0</v>
      </c>
      <c r="G13" s="529">
        <v>0</v>
      </c>
      <c r="H13" s="529">
        <v>0</v>
      </c>
      <c r="I13" s="529">
        <f>D13*$D$27</f>
        <v>1600</v>
      </c>
      <c r="J13" s="529">
        <v>0</v>
      </c>
      <c r="K13" s="529">
        <v>0</v>
      </c>
      <c r="L13" s="529">
        <f t="shared" si="4"/>
        <v>164800</v>
      </c>
      <c r="M13" s="2" t="s">
        <v>992</v>
      </c>
      <c r="N13" s="223">
        <f>L13/1000*(1+'20_Tax'!$C$3)</f>
        <v>184.57600000000002</v>
      </c>
    </row>
    <row r="14" spans="1:15" ht="32">
      <c r="A14" s="2">
        <f t="shared" si="3"/>
        <v>11</v>
      </c>
      <c r="B14" s="5" t="s">
        <v>1110</v>
      </c>
      <c r="C14" s="532" t="s">
        <v>990</v>
      </c>
      <c r="D14" s="144">
        <f>6832000/2*1.2</f>
        <v>4099200</v>
      </c>
      <c r="E14" s="144">
        <f>D14*$D$22</f>
        <v>81984</v>
      </c>
      <c r="F14" s="144">
        <f>D14*$D$23</f>
        <v>122976</v>
      </c>
      <c r="G14" s="144">
        <f>D14*$D$24</f>
        <v>409920</v>
      </c>
      <c r="H14" s="144">
        <f>D14*$D$25</f>
        <v>40992</v>
      </c>
      <c r="I14" s="144">
        <f>D27*D14</f>
        <v>40992</v>
      </c>
      <c r="J14" s="144">
        <v>0</v>
      </c>
      <c r="K14" s="144">
        <v>0</v>
      </c>
      <c r="L14" s="529">
        <f>SUM(D14:K14)*D19/1000</f>
        <v>489328.50133439997</v>
      </c>
      <c r="M14" s="2" t="s">
        <v>1113</v>
      </c>
      <c r="N14" s="223">
        <f>L14/1000*(1+'20_Tax'!$C$3)</f>
        <v>548.04792149452805</v>
      </c>
      <c r="O14" s="524"/>
    </row>
    <row r="15" spans="1:15" ht="16">
      <c r="A15" s="2">
        <f t="shared" si="3"/>
        <v>12</v>
      </c>
      <c r="B15" s="31" t="s">
        <v>1111</v>
      </c>
      <c r="C15" s="532" t="s">
        <v>2</v>
      </c>
      <c r="D15" s="693">
        <f>671/1.2</f>
        <v>559.16666666666674</v>
      </c>
      <c r="E15" s="529">
        <f>D15*$D$22</f>
        <v>11.183333333333335</v>
      </c>
      <c r="F15" s="529">
        <v>0</v>
      </c>
      <c r="G15" s="529">
        <f>D15*$D$24</f>
        <v>55.916666666666679</v>
      </c>
      <c r="H15" s="529">
        <v>0</v>
      </c>
      <c r="I15" s="529">
        <f>D15*$D$27</f>
        <v>5.5916666666666677</v>
      </c>
      <c r="J15" s="529">
        <v>0</v>
      </c>
      <c r="K15" s="529">
        <v>0</v>
      </c>
      <c r="L15" s="693">
        <f>SUM(D15:K15)</f>
        <v>631.85833333333335</v>
      </c>
      <c r="M15" s="30" t="s">
        <v>1114</v>
      </c>
      <c r="N15" s="223">
        <f>L15/1000*(1+'20_Tax'!$C$3)</f>
        <v>0.70768133333333338</v>
      </c>
      <c r="O15" s="637" t="s">
        <v>1115</v>
      </c>
    </row>
    <row r="16" spans="1:15" ht="16">
      <c r="A16" s="2">
        <f t="shared" si="3"/>
        <v>13</v>
      </c>
      <c r="B16" s="31" t="s">
        <v>1112</v>
      </c>
      <c r="C16" s="532" t="s">
        <v>2</v>
      </c>
      <c r="D16" s="693">
        <f>2047/1.2</f>
        <v>1705.8333333333335</v>
      </c>
      <c r="E16" s="529">
        <f>D16*$D$22</f>
        <v>34.116666666666667</v>
      </c>
      <c r="F16" s="529">
        <v>1</v>
      </c>
      <c r="G16" s="529">
        <f>D16*$D$24</f>
        <v>170.58333333333337</v>
      </c>
      <c r="H16" s="529">
        <v>1</v>
      </c>
      <c r="I16" s="529">
        <f>D16*$D$27</f>
        <v>17.058333333333334</v>
      </c>
      <c r="J16" s="529">
        <v>0</v>
      </c>
      <c r="K16" s="529">
        <v>0</v>
      </c>
      <c r="L16" s="693">
        <f>SUM(D16:K16)</f>
        <v>1929.5916666666667</v>
      </c>
      <c r="M16" s="30" t="s">
        <v>1114</v>
      </c>
      <c r="N16" s="223">
        <f>L16/1000*(1+'20_Tax'!$C$3)</f>
        <v>2.1611426666666667</v>
      </c>
      <c r="O16" s="637" t="s">
        <v>1115</v>
      </c>
    </row>
    <row r="17" spans="1:14" ht="16">
      <c r="A17" s="2">
        <f>A14+1</f>
        <v>12</v>
      </c>
      <c r="B17" s="5" t="s">
        <v>209</v>
      </c>
      <c r="C17" s="532" t="s">
        <v>2</v>
      </c>
      <c r="D17" s="529">
        <f>SUM(L3:L14)*D26</f>
        <v>169521.49258671692</v>
      </c>
      <c r="E17" s="529">
        <v>0</v>
      </c>
      <c r="F17" s="529">
        <v>0</v>
      </c>
      <c r="G17" s="529">
        <v>0</v>
      </c>
      <c r="H17" s="529">
        <v>0</v>
      </c>
      <c r="I17" s="529">
        <v>0</v>
      </c>
      <c r="J17" s="529">
        <v>0</v>
      </c>
      <c r="K17" s="529">
        <v>0</v>
      </c>
      <c r="L17" s="529">
        <f t="shared" si="4"/>
        <v>169521.49258671692</v>
      </c>
      <c r="M17" s="41" t="s">
        <v>1108</v>
      </c>
      <c r="N17" s="223">
        <f>L17/1000*(1+'20_Tax'!$C$3)</f>
        <v>189.86407169712299</v>
      </c>
    </row>
    <row r="18" spans="1:14" ht="16">
      <c r="A18" s="145"/>
      <c r="B18" s="137" t="s">
        <v>3</v>
      </c>
      <c r="C18" s="103"/>
      <c r="D18" s="714">
        <f t="shared" ref="D18:K18" si="5">SUM(D5:D17)</f>
        <v>4899790.0321111819</v>
      </c>
      <c r="E18" s="714">
        <f t="shared" si="5"/>
        <v>96175.675590489307</v>
      </c>
      <c r="F18" s="714">
        <f t="shared" si="5"/>
        <v>124849.05688073394</v>
      </c>
      <c r="G18" s="714">
        <f t="shared" si="5"/>
        <v>457026.85395244649</v>
      </c>
      <c r="H18" s="714">
        <f t="shared" si="5"/>
        <v>45050.866560244649</v>
      </c>
      <c r="I18" s="714">
        <f t="shared" si="5"/>
        <v>48464.160735244652</v>
      </c>
      <c r="J18" s="714">
        <f t="shared" si="5"/>
        <v>0</v>
      </c>
      <c r="K18" s="714">
        <f t="shared" si="5"/>
        <v>0</v>
      </c>
      <c r="L18" s="714">
        <f>SUM(L3:L17)</f>
        <v>3562512.7943210555</v>
      </c>
      <c r="M18" s="41"/>
      <c r="N18" s="223">
        <f>SUM(N3:N17)</f>
        <v>3990.014329639584</v>
      </c>
    </row>
    <row r="19" spans="1:14" ht="16">
      <c r="B19" s="3" t="s">
        <v>210</v>
      </c>
      <c r="D19" s="141">
        <f>'0_Допущения'!C12</f>
        <v>102.0271</v>
      </c>
      <c r="E19" s="141"/>
      <c r="F19" s="142" t="s">
        <v>201</v>
      </c>
      <c r="G19" s="142"/>
      <c r="H19" s="142"/>
      <c r="I19" s="142"/>
      <c r="J19" s="142"/>
      <c r="K19" s="142"/>
      <c r="L19" s="142"/>
    </row>
    <row r="20" spans="1:14" ht="16">
      <c r="B20" s="3" t="s">
        <v>350</v>
      </c>
      <c r="D20" s="141">
        <f>'0_Допущения'!C13</f>
        <v>90.690600000000003</v>
      </c>
      <c r="E20" s="141"/>
      <c r="F20" s="142" t="s">
        <v>201</v>
      </c>
      <c r="G20" s="142"/>
      <c r="H20" s="142"/>
      <c r="I20" s="142"/>
      <c r="J20" s="142"/>
      <c r="K20" s="142"/>
      <c r="L20" s="142"/>
    </row>
    <row r="21" spans="1:14" ht="16">
      <c r="B21" s="3" t="s">
        <v>798</v>
      </c>
      <c r="D21" s="141">
        <f>'0_Допущения'!C14</f>
        <v>12.6351</v>
      </c>
      <c r="E21" s="141"/>
      <c r="F21" s="142" t="s">
        <v>201</v>
      </c>
      <c r="G21" s="142"/>
      <c r="H21" s="142"/>
      <c r="I21" s="142"/>
      <c r="J21" s="142"/>
      <c r="K21" s="142"/>
      <c r="L21" s="142"/>
    </row>
    <row r="22" spans="1:14" ht="16">
      <c r="B22" s="3" t="s">
        <v>203</v>
      </c>
      <c r="D22" s="49">
        <v>0.02</v>
      </c>
    </row>
    <row r="23" spans="1:14" ht="16">
      <c r="B23" s="3" t="s">
        <v>204</v>
      </c>
      <c r="D23" s="49">
        <v>0.03</v>
      </c>
    </row>
    <row r="24" spans="1:14" ht="16">
      <c r="B24" s="3" t="s">
        <v>211</v>
      </c>
      <c r="D24" s="49">
        <v>0.1</v>
      </c>
      <c r="E24" s="142"/>
      <c r="F24" s="142"/>
      <c r="G24" s="142"/>
      <c r="H24" s="142"/>
      <c r="I24" s="142"/>
      <c r="J24" s="142"/>
      <c r="K24" s="142"/>
      <c r="L24" s="142"/>
    </row>
    <row r="25" spans="1:14" ht="16">
      <c r="B25" s="3" t="s">
        <v>212</v>
      </c>
      <c r="D25" s="49">
        <v>0.01</v>
      </c>
    </row>
    <row r="26" spans="1:14" ht="16">
      <c r="B26" s="3" t="s">
        <v>209</v>
      </c>
      <c r="D26" s="49">
        <v>0.05</v>
      </c>
    </row>
    <row r="27" spans="1:14" ht="16">
      <c r="B27" s="3" t="s">
        <v>348</v>
      </c>
      <c r="D27" s="49">
        <v>0.01</v>
      </c>
    </row>
    <row r="28" spans="1:14" ht="16">
      <c r="B28" s="3" t="s">
        <v>349</v>
      </c>
      <c r="D28" s="49">
        <v>0.05</v>
      </c>
    </row>
  </sheetData>
  <mergeCells count="1">
    <mergeCell ref="A1:K1"/>
  </mergeCells>
  <hyperlinks>
    <hyperlink ref="O7" r:id="rId1" xr:uid="{95E7FE36-0E8D-044A-9CCE-A28AD47A2A90}"/>
    <hyperlink ref="O9" r:id="rId2" xr:uid="{5CF8FD93-77F6-6846-905B-34600901CB83}"/>
    <hyperlink ref="M4" location="'5-1_ЛК'!A1" display="'5-1_ЛК'!A1" xr:uid="{A8B4C9CE-2BB3-AF42-9854-43E32E986C5B}"/>
    <hyperlink ref="O10" r:id="rId3" xr:uid="{246C34BB-8106-A549-9A0B-4194A12F6E98}"/>
    <hyperlink ref="O15" r:id="rId4" xr:uid="{DA75F365-2348-A343-AD92-F93757C7C23F}"/>
    <hyperlink ref="O16" r:id="rId5" xr:uid="{B3C49A20-75DD-B645-BF9D-669AE20F8261}"/>
    <hyperlink ref="M5" location="'5-2_ЦГ'!A1" display="'5-2_ЦГ'!A1" xr:uid="{4066B2AE-70E9-0B43-B3FB-889F9320F902}"/>
  </hyperlinks>
  <pageMargins left="0.7" right="0.7" top="0.75" bottom="0.75" header="0.3" footer="0.3"/>
  <pageSetup paperSize="9" scale="42" orientation="landscape"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5675A-3550-934F-A250-8D12D059E7CA}">
  <dimension ref="A1:I10"/>
  <sheetViews>
    <sheetView zoomScale="120" zoomScaleNormal="120" workbookViewId="0">
      <selection sqref="A1:H10"/>
    </sheetView>
  </sheetViews>
  <sheetFormatPr baseColWidth="10" defaultRowHeight="15"/>
  <cols>
    <col min="1" max="1" width="6" style="3" bestFit="1" customWidth="1"/>
    <col min="2" max="2" width="27.5" style="3" bestFit="1" customWidth="1"/>
    <col min="3" max="3" width="10.83203125" style="3"/>
    <col min="4" max="4" width="13.1640625" style="3" bestFit="1" customWidth="1"/>
    <col min="5" max="5" width="10.1640625" style="3" bestFit="1" customWidth="1"/>
    <col min="6" max="6" width="12.83203125" style="3" bestFit="1" customWidth="1"/>
    <col min="7" max="7" width="12.83203125" style="3" customWidth="1"/>
    <col min="8" max="8" width="20.1640625" style="3" customWidth="1"/>
    <col min="9" max="9" width="42.33203125" style="3" customWidth="1"/>
    <col min="10" max="16384" width="10.83203125" style="3"/>
  </cols>
  <sheetData>
    <row r="1" spans="1:9" ht="21" customHeight="1">
      <c r="A1" s="795" t="s">
        <v>874</v>
      </c>
      <c r="B1" s="795"/>
      <c r="C1" s="795"/>
      <c r="D1" s="795"/>
      <c r="E1" s="574"/>
      <c r="H1" s="3" t="s">
        <v>880</v>
      </c>
    </row>
    <row r="2" spans="1:9" ht="32">
      <c r="A2" s="583" t="s">
        <v>18</v>
      </c>
      <c r="B2" s="583" t="s">
        <v>44</v>
      </c>
      <c r="C2" s="583" t="s">
        <v>1</v>
      </c>
      <c r="D2" s="583" t="s">
        <v>873</v>
      </c>
      <c r="E2" s="583" t="s">
        <v>881</v>
      </c>
      <c r="F2" s="583" t="s">
        <v>46</v>
      </c>
      <c r="G2" s="583" t="s">
        <v>879</v>
      </c>
      <c r="H2" s="583" t="s">
        <v>872</v>
      </c>
      <c r="I2" s="2" t="s">
        <v>877</v>
      </c>
    </row>
    <row r="3" spans="1:9" ht="16">
      <c r="A3" s="2">
        <v>1</v>
      </c>
      <c r="B3" s="5" t="s">
        <v>875</v>
      </c>
      <c r="C3" s="2" t="s">
        <v>2</v>
      </c>
      <c r="D3" s="4">
        <v>1200</v>
      </c>
      <c r="E3" s="4">
        <v>2</v>
      </c>
      <c r="F3" s="4">
        <f t="shared" ref="F3:F8" si="0">D3*E3</f>
        <v>2400</v>
      </c>
      <c r="G3" s="2">
        <v>6</v>
      </c>
      <c r="H3" s="2" t="s">
        <v>876</v>
      </c>
      <c r="I3" s="569" t="s">
        <v>878</v>
      </c>
    </row>
    <row r="4" spans="1:9" ht="16">
      <c r="A4" s="2">
        <v>2</v>
      </c>
      <c r="B4" s="5" t="s">
        <v>882</v>
      </c>
      <c r="C4" s="2" t="s">
        <v>2</v>
      </c>
      <c r="D4" s="4">
        <v>536</v>
      </c>
      <c r="E4" s="4">
        <v>1</v>
      </c>
      <c r="F4" s="4">
        <f t="shared" si="0"/>
        <v>536</v>
      </c>
      <c r="G4" s="2">
        <v>0</v>
      </c>
      <c r="H4" s="2" t="s">
        <v>876</v>
      </c>
      <c r="I4" s="2"/>
    </row>
    <row r="5" spans="1:9" ht="32">
      <c r="A5" s="2">
        <v>3</v>
      </c>
      <c r="B5" s="5" t="s">
        <v>883</v>
      </c>
      <c r="C5" s="2" t="s">
        <v>2</v>
      </c>
      <c r="D5" s="4">
        <v>680</v>
      </c>
      <c r="E5" s="4">
        <v>4</v>
      </c>
      <c r="F5" s="4">
        <f t="shared" si="0"/>
        <v>2720</v>
      </c>
      <c r="G5" s="2">
        <f>15*2</f>
        <v>30</v>
      </c>
      <c r="H5" s="2" t="s">
        <v>876</v>
      </c>
      <c r="I5" s="2"/>
    </row>
    <row r="6" spans="1:9" ht="16">
      <c r="A6" s="2">
        <v>4</v>
      </c>
      <c r="B6" s="5" t="s">
        <v>884</v>
      </c>
      <c r="C6" s="2" t="s">
        <v>2</v>
      </c>
      <c r="D6" s="2">
        <v>426</v>
      </c>
      <c r="E6" s="2">
        <v>2</v>
      </c>
      <c r="F6" s="4">
        <f t="shared" si="0"/>
        <v>852</v>
      </c>
      <c r="G6" s="2">
        <f>11*E6</f>
        <v>22</v>
      </c>
      <c r="H6" s="2" t="s">
        <v>876</v>
      </c>
      <c r="I6" s="2"/>
    </row>
    <row r="7" spans="1:9" ht="16">
      <c r="A7" s="2">
        <v>5</v>
      </c>
      <c r="B7" s="5" t="s">
        <v>885</v>
      </c>
      <c r="C7" s="2" t="s">
        <v>2</v>
      </c>
      <c r="D7" s="2">
        <v>124</v>
      </c>
      <c r="E7" s="2">
        <v>2</v>
      </c>
      <c r="F7" s="4">
        <f t="shared" si="0"/>
        <v>248</v>
      </c>
      <c r="G7" s="2">
        <f>0.75*E7</f>
        <v>1.5</v>
      </c>
      <c r="H7" s="2" t="s">
        <v>876</v>
      </c>
      <c r="I7" s="2"/>
    </row>
    <row r="8" spans="1:9" ht="48">
      <c r="A8" s="2">
        <v>6</v>
      </c>
      <c r="B8" s="5" t="s">
        <v>886</v>
      </c>
      <c r="C8" s="2" t="s">
        <v>2</v>
      </c>
      <c r="D8" s="2">
        <v>573</v>
      </c>
      <c r="E8" s="2">
        <v>1</v>
      </c>
      <c r="F8" s="2">
        <f t="shared" si="0"/>
        <v>573</v>
      </c>
      <c r="G8" s="2">
        <v>1.5</v>
      </c>
      <c r="H8" s="2" t="s">
        <v>887</v>
      </c>
      <c r="I8" s="569" t="s">
        <v>888</v>
      </c>
    </row>
    <row r="9" spans="1:9" ht="16">
      <c r="A9" s="2">
        <v>7</v>
      </c>
      <c r="B9" s="5" t="s">
        <v>209</v>
      </c>
      <c r="C9" s="2" t="s">
        <v>2</v>
      </c>
      <c r="D9" s="41">
        <v>0.5</v>
      </c>
      <c r="E9" s="2">
        <v>1</v>
      </c>
      <c r="F9" s="4">
        <f>D9*SUM(F3:F8)</f>
        <v>3664.5</v>
      </c>
      <c r="G9" s="2">
        <v>9</v>
      </c>
      <c r="H9" s="2" t="s">
        <v>887</v>
      </c>
    </row>
    <row r="10" spans="1:9" ht="16">
      <c r="A10" s="584"/>
      <c r="B10" s="584" t="s">
        <v>3</v>
      </c>
      <c r="C10" s="584"/>
      <c r="D10" s="584"/>
      <c r="E10" s="584"/>
      <c r="F10" s="585">
        <f>SUM(F3:F9)</f>
        <v>10993.5</v>
      </c>
      <c r="G10" s="584">
        <f>SUM(G3:G9)</f>
        <v>70</v>
      </c>
      <c r="H10" s="584"/>
    </row>
  </sheetData>
  <mergeCells count="1">
    <mergeCell ref="A1:D1"/>
  </mergeCells>
  <hyperlinks>
    <hyperlink ref="I3" r:id="rId1" xr:uid="{F5AA804E-D751-0542-AC48-978273B6E0D5}"/>
    <hyperlink ref="I8" r:id="rId2" xr:uid="{E540836A-9E88-6F45-8727-F778C6A7EAD3}"/>
  </hyperlinks>
  <pageMargins left="0.7" right="0.7" top="0.75" bottom="0.75" header="0.3" footer="0.3"/>
  <pageSetup paperSize="9"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091EE-AB4B-0541-AA2F-3D618AA906BC}">
  <sheetPr>
    <pageSetUpPr fitToPage="1"/>
  </sheetPr>
  <dimension ref="A1:J15"/>
  <sheetViews>
    <sheetView zoomScale="120" zoomScaleNormal="120" workbookViewId="0">
      <pane xSplit="2" ySplit="2" topLeftCell="C3" activePane="bottomRight" state="frozen"/>
      <selection activeCell="B10" sqref="B10"/>
      <selection pane="topRight" activeCell="B10" sqref="B10"/>
      <selection pane="bottomLeft" activeCell="B10" sqref="B10"/>
      <selection pane="bottomRight" activeCell="E17" sqref="E17"/>
    </sheetView>
  </sheetViews>
  <sheetFormatPr baseColWidth="10" defaultColWidth="9.1640625" defaultRowHeight="15"/>
  <cols>
    <col min="1" max="1" width="6.6640625" style="3" bestFit="1" customWidth="1"/>
    <col min="2" max="2" width="28.5" style="3" customWidth="1"/>
    <col min="3" max="3" width="9.6640625" style="3" customWidth="1"/>
    <col min="4" max="4" width="12.5" style="3" bestFit="1" customWidth="1"/>
    <col min="5" max="5" width="7.5" style="3" bestFit="1" customWidth="1"/>
    <col min="6" max="6" width="10.83203125" style="3" customWidth="1"/>
    <col min="7" max="7" width="6.83203125" style="3" bestFit="1" customWidth="1"/>
    <col min="8" max="8" width="15.33203125" style="3" bestFit="1" customWidth="1"/>
    <col min="10" max="10" width="106.1640625" style="3" customWidth="1"/>
    <col min="11" max="16384" width="9.1640625" style="3"/>
  </cols>
  <sheetData>
    <row r="1" spans="1:10" ht="24" customHeight="1">
      <c r="A1" s="796" t="s">
        <v>894</v>
      </c>
      <c r="B1" s="796"/>
      <c r="C1" s="796"/>
      <c r="D1" s="796"/>
      <c r="E1" s="796"/>
      <c r="F1" s="796"/>
      <c r="G1" s="3" t="s">
        <v>289</v>
      </c>
      <c r="H1" s="586" t="s">
        <v>893</v>
      </c>
    </row>
    <row r="2" spans="1:10" ht="48">
      <c r="A2" s="382" t="s">
        <v>62</v>
      </c>
      <c r="B2" s="382" t="s">
        <v>202</v>
      </c>
      <c r="C2" s="778" t="s">
        <v>1</v>
      </c>
      <c r="D2" s="382" t="s">
        <v>890</v>
      </c>
      <c r="E2" s="382" t="s">
        <v>881</v>
      </c>
      <c r="F2" s="382" t="s">
        <v>891</v>
      </c>
      <c r="G2" s="382" t="s">
        <v>879</v>
      </c>
      <c r="H2" s="382" t="s">
        <v>208</v>
      </c>
    </row>
    <row r="3" spans="1:10" ht="18" customHeight="1">
      <c r="A3" s="2">
        <v>1</v>
      </c>
      <c r="B3" s="128" t="s">
        <v>846</v>
      </c>
      <c r="C3" s="94" t="s">
        <v>2</v>
      </c>
      <c r="D3" s="529">
        <f>8937000/1000</f>
        <v>8937</v>
      </c>
      <c r="E3" s="454">
        <v>1</v>
      </c>
      <c r="F3" s="529">
        <f>D3*E3</f>
        <v>8937</v>
      </c>
      <c r="G3" s="454">
        <v>37</v>
      </c>
      <c r="H3" s="2" t="s">
        <v>847</v>
      </c>
      <c r="J3" s="524" t="s">
        <v>850</v>
      </c>
    </row>
    <row r="4" spans="1:10" ht="19" customHeight="1">
      <c r="A4" s="2">
        <f t="shared" ref="A4:A11" si="0">A3+1</f>
        <v>2</v>
      </c>
      <c r="B4" s="128" t="s">
        <v>845</v>
      </c>
      <c r="C4" s="94" t="s">
        <v>2</v>
      </c>
      <c r="D4" s="529">
        <f>237000/1000</f>
        <v>237</v>
      </c>
      <c r="E4" s="454">
        <v>1</v>
      </c>
      <c r="F4" s="529">
        <f t="shared" ref="F4:F5" si="1">D4*E4</f>
        <v>237</v>
      </c>
      <c r="G4" s="454">
        <v>3</v>
      </c>
      <c r="H4" s="2" t="s">
        <v>848</v>
      </c>
      <c r="J4" s="524" t="s">
        <v>849</v>
      </c>
    </row>
    <row r="5" spans="1:10" ht="19" customHeight="1">
      <c r="A5" s="2">
        <f t="shared" si="0"/>
        <v>3</v>
      </c>
      <c r="B5" s="128" t="s">
        <v>892</v>
      </c>
      <c r="C5" s="94" t="s">
        <v>2</v>
      </c>
      <c r="D5" s="529">
        <v>458</v>
      </c>
      <c r="E5" s="454">
        <v>6</v>
      </c>
      <c r="F5" s="529">
        <f t="shared" si="1"/>
        <v>2748</v>
      </c>
      <c r="G5" s="454">
        <f>22*5</f>
        <v>110</v>
      </c>
      <c r="H5" s="2" t="s">
        <v>848</v>
      </c>
      <c r="J5" s="186" t="s">
        <v>849</v>
      </c>
    </row>
    <row r="6" spans="1:10" ht="32" customHeight="1">
      <c r="A6" s="2">
        <f t="shared" si="0"/>
        <v>4</v>
      </c>
      <c r="B6" s="128" t="s">
        <v>851</v>
      </c>
      <c r="C6" s="94" t="s">
        <v>854</v>
      </c>
      <c r="D6" s="563">
        <v>65000</v>
      </c>
      <c r="E6" s="454">
        <v>1</v>
      </c>
      <c r="F6" s="529">
        <f>D6*D14/1000</f>
        <v>5894.8890000000001</v>
      </c>
      <c r="G6" s="454">
        <v>142</v>
      </c>
      <c r="H6" s="2" t="s">
        <v>853</v>
      </c>
      <c r="J6" s="562" t="s">
        <v>852</v>
      </c>
    </row>
    <row r="7" spans="1:10" ht="18" customHeight="1">
      <c r="A7" s="2">
        <f t="shared" si="0"/>
        <v>5</v>
      </c>
      <c r="B7" s="128" t="str">
        <f>'5-1_ЛК'!B3</f>
        <v>Установка для фасовки ФАС-КМ2</v>
      </c>
      <c r="C7" s="94" t="s">
        <v>2</v>
      </c>
      <c r="D7" s="529">
        <f>'5-1_ЛК'!D3</f>
        <v>1200</v>
      </c>
      <c r="E7" s="454">
        <v>2</v>
      </c>
      <c r="F7" s="529">
        <f>D7*E7</f>
        <v>2400</v>
      </c>
      <c r="G7" s="454">
        <f>'5-1_ЛК'!G3</f>
        <v>6</v>
      </c>
      <c r="H7" s="2" t="str">
        <f>'5-1_ЛК'!H3</f>
        <v>Завод ААМикс</v>
      </c>
      <c r="I7" s="3"/>
      <c r="J7" s="186" t="s">
        <v>849</v>
      </c>
    </row>
    <row r="8" spans="1:10" ht="16">
      <c r="A8" s="2">
        <f t="shared" si="0"/>
        <v>6</v>
      </c>
      <c r="B8" s="128" t="str">
        <f>'5-1_ЛК'!B4</f>
        <v>Приемный бункер, 4 куб.м.</v>
      </c>
      <c r="C8" s="94" t="s">
        <v>2</v>
      </c>
      <c r="D8" s="529">
        <f>'5-1_ЛК'!D4</f>
        <v>536</v>
      </c>
      <c r="E8" s="454">
        <v>2</v>
      </c>
      <c r="F8" s="529">
        <f>D8*E8</f>
        <v>1072</v>
      </c>
      <c r="G8" s="454">
        <v>0</v>
      </c>
      <c r="H8" s="2" t="str">
        <f>'5-1_ЛК'!H4</f>
        <v>Завод ААМикс</v>
      </c>
      <c r="I8" s="3"/>
      <c r="J8" s="186"/>
    </row>
    <row r="9" spans="1:10" ht="16">
      <c r="A9" s="2">
        <f t="shared" si="0"/>
        <v>7</v>
      </c>
      <c r="B9" s="128" t="str">
        <f>'5-1_ЛК'!B6</f>
        <v>Циклон ЦН 15-1000 УП</v>
      </c>
      <c r="C9" s="94" t="s">
        <v>2</v>
      </c>
      <c r="D9" s="529">
        <f>'5-1_ЛК'!D6</f>
        <v>426</v>
      </c>
      <c r="E9" s="454">
        <v>2</v>
      </c>
      <c r="F9" s="529">
        <f t="shared" ref="F9:F10" si="2">D9*E9</f>
        <v>852</v>
      </c>
      <c r="G9" s="454">
        <f>'5-1_ЛК'!G6</f>
        <v>22</v>
      </c>
      <c r="H9" s="2" t="str">
        <f>'5-1_ЛК'!H6</f>
        <v>Завод ААМикс</v>
      </c>
      <c r="I9" s="3"/>
      <c r="J9" s="186"/>
    </row>
    <row r="10" spans="1:10" ht="32">
      <c r="A10" s="2">
        <f t="shared" si="0"/>
        <v>8</v>
      </c>
      <c r="B10" s="128" t="s">
        <v>886</v>
      </c>
      <c r="C10" s="94" t="s">
        <v>2</v>
      </c>
      <c r="D10" s="529">
        <f>'5-1_ЛК'!D8</f>
        <v>573</v>
      </c>
      <c r="E10" s="454">
        <v>1</v>
      </c>
      <c r="F10" s="529">
        <f t="shared" si="2"/>
        <v>573</v>
      </c>
      <c r="G10" s="454">
        <f>'5-1_ЛК'!G8</f>
        <v>1.5</v>
      </c>
      <c r="H10" s="2" t="str">
        <f>'5-1_ЛК'!H8</f>
        <v>Hualian Machinery</v>
      </c>
      <c r="I10" s="3"/>
      <c r="J10" s="3" t="str">
        <f>'5-1_ЛК'!I8</f>
        <v>https://hmru.ru/catalog/palletoupakovshchiki/palletoupakovshchik_hl_1650f_s_e_platformoy_s_motorizirovannoy_karetkoy_s_prestreychem/</v>
      </c>
    </row>
    <row r="11" spans="1:10" ht="29" customHeight="1">
      <c r="A11" s="2">
        <f t="shared" si="0"/>
        <v>9</v>
      </c>
      <c r="B11" s="128" t="s">
        <v>855</v>
      </c>
      <c r="C11" s="94" t="s">
        <v>2</v>
      </c>
      <c r="D11" s="41">
        <v>0.5</v>
      </c>
      <c r="E11" s="454"/>
      <c r="F11" s="529">
        <f>D11*SUM(F3:F10)</f>
        <v>11356.9445</v>
      </c>
      <c r="G11" s="454"/>
      <c r="H11" s="2"/>
      <c r="I11" s="3"/>
    </row>
    <row r="12" spans="1:10" ht="29" customHeight="1">
      <c r="A12" s="564"/>
      <c r="B12" s="565" t="s">
        <v>856</v>
      </c>
      <c r="C12" s="566" t="s">
        <v>2</v>
      </c>
      <c r="D12" s="567"/>
      <c r="E12" s="567"/>
      <c r="F12" s="568">
        <f>SUM(F3:F11)</f>
        <v>34070.833500000001</v>
      </c>
      <c r="G12" s="587">
        <f>SUM(G3:G11)</f>
        <v>321.5</v>
      </c>
      <c r="H12" s="564"/>
      <c r="I12" s="3"/>
    </row>
    <row r="13" spans="1:10" ht="16">
      <c r="B13" s="3" t="s">
        <v>210</v>
      </c>
      <c r="D13" s="141">
        <f>'0_Допущения'!C12</f>
        <v>102.0271</v>
      </c>
      <c r="E13" s="141"/>
      <c r="I13" s="3"/>
    </row>
    <row r="14" spans="1:10" ht="16">
      <c r="B14" s="3" t="s">
        <v>350</v>
      </c>
      <c r="D14" s="141">
        <f>'0_Допущения'!C13</f>
        <v>90.690600000000003</v>
      </c>
      <c r="E14" s="141"/>
      <c r="I14" s="3"/>
    </row>
    <row r="15" spans="1:10" ht="16">
      <c r="B15" s="3" t="s">
        <v>798</v>
      </c>
      <c r="D15" s="141">
        <f>'0_Допущения'!C14</f>
        <v>12.6351</v>
      </c>
      <c r="E15" s="141"/>
      <c r="I15" s="3"/>
    </row>
  </sheetData>
  <mergeCells count="1">
    <mergeCell ref="A1:F1"/>
  </mergeCells>
  <hyperlinks>
    <hyperlink ref="J4" r:id="rId1" xr:uid="{95FB3CDF-B085-6A47-B6E7-010C80ADB06D}"/>
    <hyperlink ref="J3" r:id="rId2" xr:uid="{4ADED337-88DA-C14A-9F56-2270DE9E9DFD}"/>
    <hyperlink ref="J6" r:id="rId3" xr:uid="{139EB7DF-8572-CA4F-8E2D-809D568BEEA1}"/>
  </hyperlinks>
  <pageMargins left="0.7" right="0.7" top="0.75" bottom="0.75" header="0.3" footer="0.3"/>
  <pageSetup paperSize="9" scale="57" orientation="landscape"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5416A-435F-0545-BE55-9EB26D19A2B2}">
  <sheetPr>
    <pageSetUpPr fitToPage="1"/>
  </sheetPr>
  <dimension ref="A1:P59"/>
  <sheetViews>
    <sheetView topLeftCell="A23" zoomScale="110" zoomScaleNormal="110" workbookViewId="0">
      <selection activeCell="F5" sqref="F5"/>
    </sheetView>
  </sheetViews>
  <sheetFormatPr baseColWidth="10" defaultColWidth="8.83203125" defaultRowHeight="15"/>
  <cols>
    <col min="1" max="1" width="9.33203125" style="179" customWidth="1"/>
    <col min="2" max="2" width="43.1640625" style="179" customWidth="1"/>
    <col min="3" max="3" width="22.1640625" style="179" customWidth="1"/>
    <col min="4" max="4" width="10.33203125" style="179" bestFit="1" customWidth="1"/>
    <col min="5" max="5" width="9" style="179" customWidth="1"/>
    <col min="6" max="6" width="36.83203125" style="179" customWidth="1"/>
    <col min="7" max="7" width="13" style="179" bestFit="1" customWidth="1"/>
    <col min="8" max="9" width="8.83203125" style="179"/>
    <col min="10" max="10" width="9.5" style="179" bestFit="1" customWidth="1"/>
    <col min="11" max="16384" width="8.83203125" style="179"/>
  </cols>
  <sheetData>
    <row r="1" spans="1:9" ht="36" customHeight="1">
      <c r="A1" s="797" t="s">
        <v>1246</v>
      </c>
      <c r="B1" s="797"/>
      <c r="C1" s="797"/>
      <c r="D1" s="797"/>
      <c r="E1" s="797"/>
      <c r="F1" s="797"/>
    </row>
    <row r="2" spans="1:9" ht="32">
      <c r="A2" s="646" t="s">
        <v>1007</v>
      </c>
      <c r="B2" s="646" t="s">
        <v>1008</v>
      </c>
      <c r="C2" s="646" t="s">
        <v>1009</v>
      </c>
      <c r="D2" s="646" t="s">
        <v>57</v>
      </c>
      <c r="E2" s="646" t="s">
        <v>1086</v>
      </c>
      <c r="F2" s="646" t="s">
        <v>42</v>
      </c>
      <c r="G2" s="647" t="s">
        <v>1011</v>
      </c>
      <c r="H2" s="647"/>
      <c r="I2" s="647"/>
    </row>
    <row r="3" spans="1:9" ht="16">
      <c r="A3" s="646">
        <v>1</v>
      </c>
      <c r="B3" s="683" t="s">
        <v>1012</v>
      </c>
      <c r="C3" s="649">
        <f>SUM(C4:C18)</f>
        <v>139489800</v>
      </c>
      <c r="D3" s="650"/>
      <c r="E3" s="650"/>
      <c r="F3" s="648" t="s">
        <v>1013</v>
      </c>
      <c r="G3" s="647" t="s">
        <v>1014</v>
      </c>
      <c r="H3" s="647" t="s">
        <v>1015</v>
      </c>
      <c r="I3" s="647"/>
    </row>
    <row r="4" spans="1:9" ht="32">
      <c r="A4" s="651" t="s">
        <v>115</v>
      </c>
      <c r="B4" s="684" t="s">
        <v>1016</v>
      </c>
      <c r="C4" s="652">
        <f>G4*H4</f>
        <v>646800</v>
      </c>
      <c r="D4" s="650">
        <v>1</v>
      </c>
      <c r="E4" s="650">
        <v>6</v>
      </c>
      <c r="F4" s="650"/>
      <c r="G4" s="686">
        <v>490000</v>
      </c>
      <c r="H4" s="647">
        <f>(0.08*4)+1</f>
        <v>1.32</v>
      </c>
      <c r="I4" s="647"/>
    </row>
    <row r="5" spans="1:9" ht="16">
      <c r="A5" s="651" t="s">
        <v>116</v>
      </c>
      <c r="B5" s="684" t="s">
        <v>1017</v>
      </c>
      <c r="C5" s="652">
        <f>G5*H5</f>
        <v>400000</v>
      </c>
      <c r="D5" s="650">
        <v>1</v>
      </c>
      <c r="E5" s="653">
        <v>12</v>
      </c>
      <c r="F5" s="650" t="s">
        <v>1018</v>
      </c>
      <c r="G5" s="686">
        <v>400000</v>
      </c>
      <c r="H5" s="647">
        <v>1</v>
      </c>
      <c r="I5" s="647"/>
    </row>
    <row r="6" spans="1:9" ht="16">
      <c r="A6" s="651" t="s">
        <v>140</v>
      </c>
      <c r="B6" s="684" t="s">
        <v>1019</v>
      </c>
      <c r="C6" s="652">
        <f>G6*H6</f>
        <v>528000</v>
      </c>
      <c r="D6" s="650">
        <v>1</v>
      </c>
      <c r="E6" s="653">
        <v>12</v>
      </c>
      <c r="F6" s="650"/>
      <c r="G6" s="686">
        <v>400000</v>
      </c>
      <c r="H6" s="647">
        <f>(0.08*4)+1</f>
        <v>1.32</v>
      </c>
      <c r="I6" s="647"/>
    </row>
    <row r="7" spans="1:9" ht="16">
      <c r="A7" s="651" t="s">
        <v>1020</v>
      </c>
      <c r="B7" s="684" t="s">
        <v>1021</v>
      </c>
      <c r="C7" s="652">
        <f>G7*H7</f>
        <v>300000</v>
      </c>
      <c r="D7" s="650">
        <v>1</v>
      </c>
      <c r="E7" s="653">
        <v>2</v>
      </c>
      <c r="F7" s="650"/>
      <c r="G7" s="686">
        <v>300000</v>
      </c>
      <c r="H7" s="647">
        <v>1</v>
      </c>
      <c r="I7" s="647"/>
    </row>
    <row r="8" spans="1:9" ht="16">
      <c r="A8" s="651" t="s">
        <v>1022</v>
      </c>
      <c r="B8" s="685" t="s">
        <v>1023</v>
      </c>
      <c r="C8" s="652">
        <f>G8*H8</f>
        <v>653400</v>
      </c>
      <c r="D8" s="650">
        <v>1</v>
      </c>
      <c r="E8" s="655"/>
      <c r="F8" s="650" t="s">
        <v>1024</v>
      </c>
      <c r="G8" s="686">
        <v>495000</v>
      </c>
      <c r="H8" s="647">
        <f>(0.08*4)+1</f>
        <v>1.32</v>
      </c>
      <c r="I8" s="647"/>
    </row>
    <row r="9" spans="1:9" ht="32">
      <c r="A9" s="651" t="s">
        <v>1025</v>
      </c>
      <c r="B9" s="684" t="s">
        <v>1087</v>
      </c>
      <c r="C9" s="652">
        <f>G9*H9*D9</f>
        <v>100320000</v>
      </c>
      <c r="D9" s="650">
        <v>2</v>
      </c>
      <c r="E9" s="653">
        <v>12</v>
      </c>
      <c r="F9" s="656" t="s">
        <v>1026</v>
      </c>
      <c r="G9" s="686">
        <v>38000000</v>
      </c>
      <c r="H9" s="647">
        <f>(0.08*4)+1</f>
        <v>1.32</v>
      </c>
    </row>
    <row r="10" spans="1:9" ht="16">
      <c r="A10" s="651" t="s">
        <v>1027</v>
      </c>
      <c r="B10" s="684" t="s">
        <v>1028</v>
      </c>
      <c r="C10" s="652">
        <f>G10*H10*D10</f>
        <v>2508000</v>
      </c>
      <c r="D10" s="650">
        <v>2</v>
      </c>
      <c r="E10" s="653">
        <v>2</v>
      </c>
      <c r="F10" s="650"/>
      <c r="G10" s="686">
        <v>950000</v>
      </c>
      <c r="H10" s="647">
        <f>(0.08*4)+1</f>
        <v>1.32</v>
      </c>
      <c r="I10" s="647"/>
    </row>
    <row r="11" spans="1:9" ht="16">
      <c r="A11" s="651" t="s">
        <v>1029</v>
      </c>
      <c r="B11" s="684" t="s">
        <v>1030</v>
      </c>
      <c r="C11" s="652">
        <f t="shared" ref="C11:C16" si="0">G11*H11*D11</f>
        <v>1821600</v>
      </c>
      <c r="D11" s="650">
        <v>1</v>
      </c>
      <c r="E11" s="650">
        <v>6</v>
      </c>
      <c r="F11" s="650"/>
      <c r="G11" s="686">
        <v>1380000</v>
      </c>
      <c r="H11" s="647">
        <f>(0.08*4)+1</f>
        <v>1.32</v>
      </c>
      <c r="I11" s="647"/>
    </row>
    <row r="12" spans="1:9" ht="16">
      <c r="A12" s="651" t="s">
        <v>1031</v>
      </c>
      <c r="B12" s="684" t="s">
        <v>1032</v>
      </c>
      <c r="C12" s="652">
        <f t="shared" si="0"/>
        <v>300000</v>
      </c>
      <c r="D12" s="650">
        <v>1</v>
      </c>
      <c r="E12" s="650">
        <v>2</v>
      </c>
      <c r="F12" s="650"/>
      <c r="G12" s="686">
        <v>300000</v>
      </c>
      <c r="H12" s="647">
        <v>1</v>
      </c>
      <c r="I12" s="647"/>
    </row>
    <row r="13" spans="1:9" ht="18.75" customHeight="1">
      <c r="A13" s="651" t="s">
        <v>1033</v>
      </c>
      <c r="B13" s="684" t="s">
        <v>1034</v>
      </c>
      <c r="C13" s="652">
        <f t="shared" si="0"/>
        <v>992000</v>
      </c>
      <c r="D13" s="650">
        <v>1</v>
      </c>
      <c r="E13" s="650">
        <v>9</v>
      </c>
      <c r="F13" s="650"/>
      <c r="G13" s="686">
        <v>800000</v>
      </c>
      <c r="H13" s="647">
        <f>(0.08*3)+1</f>
        <v>1.24</v>
      </c>
      <c r="I13" s="647"/>
    </row>
    <row r="14" spans="1:9" ht="16">
      <c r="A14" s="651" t="s">
        <v>1035</v>
      </c>
      <c r="B14" s="684" t="s">
        <v>1036</v>
      </c>
      <c r="C14" s="652">
        <f t="shared" si="0"/>
        <v>2000000</v>
      </c>
      <c r="D14" s="650">
        <v>1</v>
      </c>
      <c r="E14" s="650"/>
      <c r="F14" s="650"/>
      <c r="G14" s="686">
        <v>2000000</v>
      </c>
      <c r="H14" s="647">
        <v>1</v>
      </c>
      <c r="I14" s="647"/>
    </row>
    <row r="15" spans="1:9" ht="16">
      <c r="A15" s="651" t="s">
        <v>1037</v>
      </c>
      <c r="B15" s="684" t="s">
        <v>1038</v>
      </c>
      <c r="C15" s="652">
        <f t="shared" si="0"/>
        <v>1320000</v>
      </c>
      <c r="D15" s="650">
        <v>1</v>
      </c>
      <c r="E15" s="650">
        <v>6</v>
      </c>
      <c r="F15" s="650"/>
      <c r="G15" s="686">
        <v>1000000</v>
      </c>
      <c r="H15" s="647">
        <f>(0.08*4)+1</f>
        <v>1.32</v>
      </c>
      <c r="I15" s="647"/>
    </row>
    <row r="16" spans="1:9" ht="16">
      <c r="A16" s="651" t="s">
        <v>1039</v>
      </c>
      <c r="B16" s="684" t="s">
        <v>1040</v>
      </c>
      <c r="C16" s="652">
        <f t="shared" si="0"/>
        <v>300000</v>
      </c>
      <c r="D16" s="650">
        <v>1</v>
      </c>
      <c r="E16" s="650">
        <v>2</v>
      </c>
      <c r="F16" s="650"/>
      <c r="G16" s="686">
        <v>300000</v>
      </c>
      <c r="H16" s="647">
        <v>1</v>
      </c>
      <c r="I16" s="647"/>
    </row>
    <row r="17" spans="1:15" ht="32">
      <c r="A17" s="651" t="s">
        <v>1041</v>
      </c>
      <c r="B17" s="684" t="s">
        <v>1042</v>
      </c>
      <c r="C17" s="652">
        <f>G17*H17</f>
        <v>400000</v>
      </c>
      <c r="D17" s="650">
        <v>1</v>
      </c>
      <c r="E17" s="650">
        <v>12</v>
      </c>
      <c r="F17" s="650" t="s">
        <v>1043</v>
      </c>
      <c r="G17" s="686">
        <v>400000</v>
      </c>
      <c r="H17" s="647">
        <v>1</v>
      </c>
      <c r="I17" s="647"/>
    </row>
    <row r="18" spans="1:15" ht="32">
      <c r="A18" s="651" t="s">
        <v>1044</v>
      </c>
      <c r="B18" s="684" t="s">
        <v>1090</v>
      </c>
      <c r="C18" s="652">
        <f>G18+H18+I18+J18</f>
        <v>27000000</v>
      </c>
      <c r="D18" s="650"/>
      <c r="E18" s="650"/>
      <c r="F18" s="650" t="s">
        <v>1045</v>
      </c>
      <c r="G18" s="686">
        <v>1000000</v>
      </c>
      <c r="H18" s="647">
        <v>4000000</v>
      </c>
      <c r="I18" s="647">
        <v>2000000</v>
      </c>
      <c r="J18" s="657">
        <v>20000000</v>
      </c>
    </row>
    <row r="19" spans="1:15" ht="16">
      <c r="A19" s="646">
        <v>2</v>
      </c>
      <c r="B19" s="683" t="s">
        <v>1046</v>
      </c>
      <c r="C19" s="649">
        <f>SUM(C20:C30)</f>
        <v>49004400</v>
      </c>
      <c r="D19" s="650"/>
      <c r="E19" s="650"/>
      <c r="F19" s="650"/>
      <c r="G19" s="686"/>
      <c r="H19" s="647"/>
      <c r="I19" s="647"/>
    </row>
    <row r="20" spans="1:15" ht="32">
      <c r="A20" s="651" t="s">
        <v>157</v>
      </c>
      <c r="B20" s="684" t="s">
        <v>1016</v>
      </c>
      <c r="C20" s="652">
        <f>G20*H20</f>
        <v>132000</v>
      </c>
      <c r="D20" s="650">
        <v>1</v>
      </c>
      <c r="E20" s="650">
        <v>6</v>
      </c>
      <c r="F20" s="650"/>
      <c r="G20" s="686">
        <v>100000</v>
      </c>
      <c r="H20" s="647">
        <f>(0.08*4)+1</f>
        <v>1.32</v>
      </c>
      <c r="I20" s="647"/>
    </row>
    <row r="21" spans="1:15" ht="32">
      <c r="A21" s="651" t="s">
        <v>158</v>
      </c>
      <c r="B21" s="684" t="s">
        <v>1047</v>
      </c>
      <c r="C21" s="652">
        <f>G21*H21</f>
        <v>50000</v>
      </c>
      <c r="D21" s="650">
        <v>1</v>
      </c>
      <c r="E21" s="650">
        <v>6</v>
      </c>
      <c r="F21" s="650"/>
      <c r="G21" s="686">
        <v>50000</v>
      </c>
      <c r="H21" s="647">
        <v>1</v>
      </c>
      <c r="I21" s="647"/>
    </row>
    <row r="22" spans="1:15" ht="16">
      <c r="A22" s="651" t="s">
        <v>159</v>
      </c>
      <c r="B22" s="684" t="s">
        <v>1089</v>
      </c>
      <c r="C22" s="652">
        <f>G22*H22</f>
        <v>462000</v>
      </c>
      <c r="D22" s="650">
        <v>1</v>
      </c>
      <c r="E22" s="653">
        <v>12</v>
      </c>
      <c r="F22" s="650"/>
      <c r="G22" s="686">
        <v>350000</v>
      </c>
      <c r="H22" s="647">
        <f>(0.08*4)+1</f>
        <v>1.32</v>
      </c>
      <c r="I22" s="647"/>
    </row>
    <row r="23" spans="1:15" ht="16">
      <c r="A23" s="651" t="s">
        <v>160</v>
      </c>
      <c r="B23" s="684" t="s">
        <v>1048</v>
      </c>
      <c r="C23" s="652">
        <f>G23*H23</f>
        <v>10000</v>
      </c>
      <c r="D23" s="650">
        <v>1</v>
      </c>
      <c r="E23" s="653">
        <v>2</v>
      </c>
      <c r="F23" s="650"/>
      <c r="G23" s="686">
        <v>10000</v>
      </c>
      <c r="H23" s="647">
        <v>1</v>
      </c>
      <c r="I23" s="647"/>
    </row>
    <row r="24" spans="1:15" ht="16">
      <c r="A24" s="651" t="s">
        <v>1049</v>
      </c>
      <c r="B24" s="685" t="s">
        <v>1023</v>
      </c>
      <c r="C24" s="652">
        <f>G24*H24</f>
        <v>158400</v>
      </c>
      <c r="D24" s="650">
        <v>1</v>
      </c>
      <c r="E24" s="655"/>
      <c r="F24" s="650" t="s">
        <v>1024</v>
      </c>
      <c r="G24" s="686">
        <v>120000</v>
      </c>
      <c r="H24" s="647">
        <f>(0.08*4)+1</f>
        <v>1.32</v>
      </c>
      <c r="I24" s="647"/>
    </row>
    <row r="25" spans="1:15" ht="16">
      <c r="A25" s="651" t="s">
        <v>1050</v>
      </c>
      <c r="B25" s="684" t="s">
        <v>1088</v>
      </c>
      <c r="C25" s="652">
        <f>G25*H25*D25</f>
        <v>19008000</v>
      </c>
      <c r="D25" s="650">
        <v>4</v>
      </c>
      <c r="E25" s="653">
        <v>10</v>
      </c>
      <c r="F25" s="650"/>
      <c r="G25" s="686">
        <v>3600000</v>
      </c>
      <c r="H25" s="647">
        <f>(0.08*4)+1</f>
        <v>1.32</v>
      </c>
      <c r="I25" s="647">
        <f>C25/D25</f>
        <v>4752000</v>
      </c>
      <c r="M25" s="179" t="s">
        <v>281</v>
      </c>
    </row>
    <row r="26" spans="1:15" ht="16">
      <c r="A26" s="651" t="s">
        <v>1051</v>
      </c>
      <c r="B26" s="684" t="s">
        <v>1052</v>
      </c>
      <c r="C26" s="652">
        <f>G26*H26*D26</f>
        <v>1812000</v>
      </c>
      <c r="D26" s="650">
        <v>6</v>
      </c>
      <c r="E26" s="653"/>
      <c r="F26" s="650" t="s">
        <v>1053</v>
      </c>
      <c r="G26" s="686">
        <f>I26+J26+K26+L26</f>
        <v>302000</v>
      </c>
      <c r="H26" s="647">
        <v>1</v>
      </c>
      <c r="I26" s="647">
        <v>170000</v>
      </c>
      <c r="J26" s="179">
        <v>132000</v>
      </c>
      <c r="M26" s="179">
        <v>1.32</v>
      </c>
      <c r="N26" s="179">
        <v>100000</v>
      </c>
      <c r="O26" s="658">
        <f>M26*N26</f>
        <v>132000</v>
      </c>
    </row>
    <row r="27" spans="1:15" ht="16">
      <c r="A27" s="651" t="s">
        <v>1054</v>
      </c>
      <c r="B27" s="684" t="s">
        <v>1055</v>
      </c>
      <c r="C27" s="652">
        <f t="shared" ref="C27:C29" si="1">G27*H27*D27</f>
        <v>0</v>
      </c>
      <c r="D27" s="650">
        <v>1</v>
      </c>
      <c r="E27" s="650">
        <v>6</v>
      </c>
      <c r="F27" s="650"/>
      <c r="G27" s="686"/>
      <c r="H27" s="647">
        <f>(0.08*4)+1</f>
        <v>1.32</v>
      </c>
      <c r="I27" s="647"/>
    </row>
    <row r="28" spans="1:15" ht="16">
      <c r="A28" s="651" t="s">
        <v>1056</v>
      </c>
      <c r="B28" s="684" t="s">
        <v>1057</v>
      </c>
      <c r="C28" s="652">
        <f t="shared" si="1"/>
        <v>0</v>
      </c>
      <c r="D28" s="650">
        <v>1</v>
      </c>
      <c r="E28" s="650">
        <v>2</v>
      </c>
      <c r="F28" s="650"/>
      <c r="G28" s="686"/>
      <c r="H28" s="647">
        <v>1</v>
      </c>
      <c r="I28" s="647"/>
    </row>
    <row r="29" spans="1:15" ht="16">
      <c r="A29" s="651" t="s">
        <v>1058</v>
      </c>
      <c r="B29" s="684" t="s">
        <v>1059</v>
      </c>
      <c r="C29" s="652">
        <f t="shared" si="1"/>
        <v>372000</v>
      </c>
      <c r="D29" s="650">
        <v>1</v>
      </c>
      <c r="E29" s="650">
        <v>9</v>
      </c>
      <c r="F29" s="650"/>
      <c r="G29" s="686">
        <v>300000</v>
      </c>
      <c r="H29" s="647">
        <f>(0.08*3)+1</f>
        <v>1.24</v>
      </c>
      <c r="I29" s="647"/>
    </row>
    <row r="30" spans="1:15" ht="32">
      <c r="A30" s="651" t="s">
        <v>1060</v>
      </c>
      <c r="B30" s="684" t="s">
        <v>1090</v>
      </c>
      <c r="C30" s="652">
        <f>G30+H30+I30+J30</f>
        <v>27000000</v>
      </c>
      <c r="D30" s="650"/>
      <c r="E30" s="650"/>
      <c r="F30" s="650" t="s">
        <v>1091</v>
      </c>
      <c r="G30" s="687">
        <v>1000000</v>
      </c>
      <c r="H30" s="659">
        <v>4000000</v>
      </c>
      <c r="I30" s="659">
        <v>2000000</v>
      </c>
      <c r="J30" s="660">
        <v>20000000</v>
      </c>
    </row>
    <row r="31" spans="1:15" ht="16">
      <c r="A31" s="646">
        <v>3</v>
      </c>
      <c r="B31" s="683" t="s">
        <v>1061</v>
      </c>
      <c r="C31" s="649">
        <f>G31*H31</f>
        <v>1884942</v>
      </c>
      <c r="D31" s="648"/>
      <c r="E31" s="648"/>
      <c r="F31" s="648" t="s">
        <v>1062</v>
      </c>
      <c r="G31" s="688">
        <f>C3+C19</f>
        <v>188494200</v>
      </c>
      <c r="H31" s="661">
        <v>0.01</v>
      </c>
      <c r="I31" s="647"/>
    </row>
    <row r="32" spans="1:15" ht="16">
      <c r="A32" s="662"/>
      <c r="B32" s="683" t="s">
        <v>12</v>
      </c>
      <c r="C32" s="649">
        <f>C3+C19+C31</f>
        <v>190379142</v>
      </c>
      <c r="D32" s="650"/>
      <c r="E32" s="650"/>
      <c r="F32" s="650"/>
      <c r="G32" s="663"/>
      <c r="H32" s="663"/>
      <c r="I32" s="647"/>
    </row>
    <row r="33" spans="1:16" ht="31.5" customHeight="1">
      <c r="A33" s="662"/>
      <c r="B33" s="683" t="s">
        <v>1063</v>
      </c>
      <c r="C33" s="798" t="s">
        <v>1064</v>
      </c>
      <c r="D33" s="799"/>
      <c r="E33" s="799"/>
      <c r="F33" s="800"/>
      <c r="G33" s="663"/>
      <c r="H33" s="663"/>
      <c r="I33" s="647"/>
    </row>
    <row r="34" spans="1:16" ht="51" customHeight="1">
      <c r="A34" s="662"/>
      <c r="B34" s="650"/>
      <c r="C34" s="801"/>
      <c r="D34" s="802"/>
      <c r="E34" s="802"/>
      <c r="F34" s="803"/>
      <c r="G34" s="663"/>
      <c r="H34" s="663"/>
      <c r="I34" s="647"/>
    </row>
    <row r="35" spans="1:16">
      <c r="A35" s="664"/>
      <c r="B35" s="665"/>
      <c r="C35" s="665"/>
      <c r="D35" s="665"/>
      <c r="E35" s="665"/>
      <c r="F35" s="665"/>
      <c r="G35" s="663"/>
      <c r="H35" s="663"/>
      <c r="I35" s="647"/>
    </row>
    <row r="36" spans="1:16">
      <c r="A36" s="804" t="s">
        <v>1245</v>
      </c>
      <c r="B36" s="804"/>
      <c r="C36" s="804"/>
      <c r="D36" s="804"/>
      <c r="E36" s="804"/>
      <c r="F36" s="804"/>
    </row>
    <row r="37" spans="1:16">
      <c r="A37" s="645"/>
      <c r="B37" s="645"/>
      <c r="C37" s="645"/>
      <c r="D37" s="645"/>
      <c r="E37" s="645"/>
      <c r="F37" s="645"/>
    </row>
    <row r="38" spans="1:16" ht="32">
      <c r="A38" s="646" t="s">
        <v>1007</v>
      </c>
      <c r="B38" s="646" t="s">
        <v>1008</v>
      </c>
      <c r="C38" s="646" t="s">
        <v>1065</v>
      </c>
      <c r="D38" s="646" t="s">
        <v>57</v>
      </c>
      <c r="E38" s="646" t="s">
        <v>1010</v>
      </c>
      <c r="F38" s="646" t="s">
        <v>42</v>
      </c>
      <c r="G38" s="647" t="s">
        <v>1011</v>
      </c>
      <c r="H38" s="647"/>
      <c r="I38" s="647"/>
    </row>
    <row r="39" spans="1:16" ht="32">
      <c r="A39" s="646">
        <v>1</v>
      </c>
      <c r="B39" s="646" t="s">
        <v>1012</v>
      </c>
      <c r="C39" s="666">
        <f>SUM(C40:C46)</f>
        <v>6110185.7142857146</v>
      </c>
      <c r="D39" s="662"/>
      <c r="E39" s="662"/>
      <c r="F39" s="646" t="s">
        <v>1013</v>
      </c>
      <c r="G39" s="647" t="s">
        <v>1014</v>
      </c>
      <c r="H39" s="647" t="s">
        <v>1015</v>
      </c>
      <c r="I39" s="647" t="s">
        <v>1066</v>
      </c>
      <c r="J39" s="657" t="s">
        <v>1067</v>
      </c>
    </row>
    <row r="40" spans="1:16" ht="16">
      <c r="A40" s="651" t="s">
        <v>115</v>
      </c>
      <c r="B40" s="662" t="s">
        <v>1068</v>
      </c>
      <c r="C40" s="662">
        <f>G40*H40*I40</f>
        <v>1203840</v>
      </c>
      <c r="D40" s="662">
        <v>1</v>
      </c>
      <c r="E40" s="662"/>
      <c r="F40" s="662"/>
      <c r="G40" s="647">
        <f>280000+J40</f>
        <v>760000</v>
      </c>
      <c r="H40" s="647">
        <f>(0.08*4)+1</f>
        <v>1.32</v>
      </c>
      <c r="I40" s="647">
        <v>1.2</v>
      </c>
      <c r="J40" s="179">
        <v>480000</v>
      </c>
    </row>
    <row r="41" spans="1:16" s="668" customFormat="1" ht="32">
      <c r="A41" s="667" t="s">
        <v>116</v>
      </c>
      <c r="B41" s="650" t="s">
        <v>1069</v>
      </c>
      <c r="C41" s="650">
        <f>G41*M41*H41</f>
        <v>3854400</v>
      </c>
      <c r="D41" s="662">
        <v>1</v>
      </c>
      <c r="E41" s="653"/>
      <c r="F41" s="650" t="s">
        <v>1070</v>
      </c>
      <c r="G41" s="386">
        <v>365000</v>
      </c>
      <c r="H41" s="386">
        <f>(0.08*4)+1</f>
        <v>1.32</v>
      </c>
      <c r="I41" s="386" t="s">
        <v>1071</v>
      </c>
      <c r="J41" s="668" t="s">
        <v>1072</v>
      </c>
      <c r="M41" s="669">
        <f>4*2</f>
        <v>8</v>
      </c>
    </row>
    <row r="42" spans="1:16" s="668" customFormat="1" ht="16">
      <c r="A42" s="667" t="s">
        <v>140</v>
      </c>
      <c r="B42" s="650" t="s">
        <v>1073</v>
      </c>
      <c r="C42" s="650">
        <f>G42*D42*H42</f>
        <v>990000</v>
      </c>
      <c r="D42" s="650">
        <v>1</v>
      </c>
      <c r="E42" s="653"/>
      <c r="F42" s="650"/>
      <c r="G42" s="386">
        <f>K42</f>
        <v>750000</v>
      </c>
      <c r="H42" s="386">
        <f>(0.08*4)+1</f>
        <v>1.32</v>
      </c>
      <c r="I42" s="386">
        <v>150000</v>
      </c>
      <c r="J42" s="668">
        <v>5</v>
      </c>
      <c r="K42" s="668">
        <f>I42*J42</f>
        <v>750000</v>
      </c>
    </row>
    <row r="43" spans="1:16" s="668" customFormat="1" ht="16">
      <c r="A43" s="667" t="s">
        <v>1020</v>
      </c>
      <c r="B43" s="650" t="s">
        <v>1074</v>
      </c>
      <c r="C43" s="650"/>
      <c r="D43" s="650">
        <v>1</v>
      </c>
      <c r="E43" s="653"/>
      <c r="F43" s="650" t="s">
        <v>1075</v>
      </c>
      <c r="G43" s="386">
        <f>I43</f>
        <v>13540000</v>
      </c>
      <c r="H43" s="386">
        <f>(0.08*4)+1</f>
        <v>1.32</v>
      </c>
      <c r="I43" s="668">
        <f>J43*K43*L43</f>
        <v>13540000</v>
      </c>
      <c r="J43" s="668">
        <v>250</v>
      </c>
      <c r="K43" s="668">
        <v>8000</v>
      </c>
      <c r="L43" s="670">
        <v>6.77</v>
      </c>
      <c r="M43" s="669">
        <v>3</v>
      </c>
      <c r="N43" s="671">
        <v>5.69</v>
      </c>
      <c r="P43" s="668" t="s">
        <v>576</v>
      </c>
    </row>
    <row r="44" spans="1:16" s="668" customFormat="1" ht="16">
      <c r="A44" s="667" t="s">
        <v>1022</v>
      </c>
      <c r="B44" s="654" t="s">
        <v>1076</v>
      </c>
      <c r="C44" s="672">
        <f>G44*L44*H44</f>
        <v>61945.71428571429</v>
      </c>
      <c r="D44" s="650">
        <v>1</v>
      </c>
      <c r="E44" s="655"/>
      <c r="F44" s="650" t="s">
        <v>1077</v>
      </c>
      <c r="G44" s="386">
        <v>100000</v>
      </c>
      <c r="H44" s="386">
        <f>(0.08*4)+1</f>
        <v>1.32</v>
      </c>
      <c r="I44" s="668">
        <v>56000</v>
      </c>
      <c r="J44" s="673">
        <f>I44/24/365</f>
        <v>6.3926940639269407</v>
      </c>
      <c r="K44" s="668">
        <v>3</v>
      </c>
      <c r="L44" s="674">
        <f>K44/J44</f>
        <v>0.46928571428571431</v>
      </c>
    </row>
    <row r="45" spans="1:16" s="678" customFormat="1">
      <c r="A45" s="675"/>
      <c r="B45" s="676"/>
      <c r="C45" s="676"/>
      <c r="D45" s="650"/>
      <c r="E45" s="677"/>
      <c r="F45" s="676"/>
      <c r="G45" s="663"/>
      <c r="H45" s="663"/>
      <c r="I45" s="663"/>
    </row>
    <row r="46" spans="1:16" s="678" customFormat="1">
      <c r="A46" s="675"/>
      <c r="B46" s="676"/>
      <c r="C46" s="676"/>
      <c r="D46" s="676"/>
      <c r="E46" s="677"/>
      <c r="F46" s="676"/>
      <c r="G46" s="663"/>
      <c r="H46" s="663"/>
      <c r="I46" s="663"/>
    </row>
    <row r="47" spans="1:16" ht="16">
      <c r="A47" s="646">
        <v>2</v>
      </c>
      <c r="B47" s="646" t="s">
        <v>1078</v>
      </c>
      <c r="C47" s="669">
        <f>SUM(C48:C52)</f>
        <v>1324080</v>
      </c>
      <c r="D47" s="662"/>
      <c r="E47" s="662"/>
      <c r="F47" s="662"/>
      <c r="G47" s="647"/>
      <c r="H47" s="647"/>
      <c r="I47" s="179" t="s">
        <v>1079</v>
      </c>
    </row>
    <row r="48" spans="1:16" ht="16">
      <c r="A48" s="651" t="s">
        <v>157</v>
      </c>
      <c r="B48" s="662" t="s">
        <v>1080</v>
      </c>
      <c r="C48" s="662">
        <f>G48*H48</f>
        <v>422400</v>
      </c>
      <c r="D48" s="662">
        <v>1</v>
      </c>
      <c r="E48" s="662"/>
      <c r="F48" s="662"/>
      <c r="G48" s="647">
        <f>280000+I48</f>
        <v>320000</v>
      </c>
      <c r="H48" s="647">
        <f>(0.08*4)+1</f>
        <v>1.32</v>
      </c>
      <c r="I48" s="647">
        <v>40000</v>
      </c>
    </row>
    <row r="49" spans="1:11" ht="16">
      <c r="A49" s="651" t="s">
        <v>158</v>
      </c>
      <c r="B49" s="662" t="s">
        <v>1081</v>
      </c>
      <c r="C49" s="662">
        <f>G49</f>
        <v>751680</v>
      </c>
      <c r="D49" s="662">
        <v>1</v>
      </c>
      <c r="E49" s="662"/>
      <c r="F49" s="662" t="s">
        <v>1082</v>
      </c>
      <c r="G49" s="647">
        <f>H49*I49</f>
        <v>751680</v>
      </c>
      <c r="H49" s="647">
        <v>348</v>
      </c>
      <c r="I49" s="179">
        <f>J49*K49/1000</f>
        <v>2160</v>
      </c>
      <c r="J49" s="647">
        <v>270</v>
      </c>
      <c r="K49" s="179">
        <v>8000</v>
      </c>
    </row>
    <row r="50" spans="1:11" s="668" customFormat="1" ht="16">
      <c r="A50" s="651" t="s">
        <v>159</v>
      </c>
      <c r="B50" s="650" t="s">
        <v>1083</v>
      </c>
      <c r="C50" s="650">
        <f>G50*H50</f>
        <v>150000</v>
      </c>
      <c r="D50" s="650">
        <v>1</v>
      </c>
      <c r="E50" s="650"/>
      <c r="F50" s="650"/>
      <c r="G50" s="386">
        <v>150000</v>
      </c>
      <c r="H50" s="386">
        <v>1</v>
      </c>
      <c r="I50" s="386"/>
    </row>
    <row r="51" spans="1:11" s="678" customFormat="1">
      <c r="A51" s="675"/>
      <c r="B51" s="676"/>
      <c r="C51" s="676"/>
      <c r="D51" s="676"/>
      <c r="E51" s="677"/>
      <c r="F51" s="676"/>
      <c r="G51" s="663"/>
      <c r="H51" s="663"/>
      <c r="I51" s="663"/>
    </row>
    <row r="52" spans="1:11" s="678" customFormat="1">
      <c r="A52" s="675"/>
      <c r="B52" s="676"/>
      <c r="C52" s="676"/>
      <c r="D52" s="676"/>
      <c r="E52" s="677"/>
      <c r="F52" s="676"/>
      <c r="G52" s="663"/>
      <c r="H52" s="663"/>
      <c r="I52" s="663"/>
    </row>
    <row r="53" spans="1:11" s="678" customFormat="1" ht="16">
      <c r="A53" s="679">
        <v>3</v>
      </c>
      <c r="B53" s="679" t="s">
        <v>1061</v>
      </c>
      <c r="C53" s="649"/>
      <c r="D53" s="679"/>
      <c r="E53" s="679"/>
      <c r="F53" s="679" t="s">
        <v>1062</v>
      </c>
      <c r="G53" s="680">
        <f>C39+C47</f>
        <v>7434265.7142857146</v>
      </c>
      <c r="H53" s="680">
        <v>0.01</v>
      </c>
      <c r="I53" s="663"/>
    </row>
    <row r="54" spans="1:11" ht="16">
      <c r="A54" s="662"/>
      <c r="B54" s="681" t="s">
        <v>12</v>
      </c>
      <c r="C54" s="649">
        <f>C39+C47+C53</f>
        <v>7434265.7142857146</v>
      </c>
      <c r="D54" s="676"/>
      <c r="E54" s="676"/>
      <c r="F54" s="676"/>
      <c r="G54" s="663"/>
      <c r="H54" s="663"/>
      <c r="I54" s="647"/>
    </row>
    <row r="58" spans="1:11" ht="31.5" customHeight="1">
      <c r="B58" s="179" t="s">
        <v>1084</v>
      </c>
      <c r="C58" s="682">
        <f>C39/1000</f>
        <v>6110.1857142857143</v>
      </c>
    </row>
    <row r="59" spans="1:11" ht="45" customHeight="1">
      <c r="B59" s="179" t="s">
        <v>1085</v>
      </c>
      <c r="C59" s="682">
        <f>C47/1000</f>
        <v>1324.08</v>
      </c>
    </row>
  </sheetData>
  <mergeCells count="3">
    <mergeCell ref="A1:F1"/>
    <mergeCell ref="C33:F34"/>
    <mergeCell ref="A36:F36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50</vt:i4>
      </vt:variant>
      <vt:variant>
        <vt:lpstr>Именованные диапазоны</vt:lpstr>
      </vt:variant>
      <vt:variant>
        <vt:i4>4</vt:i4>
      </vt:variant>
    </vt:vector>
  </HeadingPairs>
  <TitlesOfParts>
    <vt:vector size="54" baseType="lpstr">
      <vt:lpstr>0_Допущения</vt:lpstr>
      <vt:lpstr>1_Резюме</vt:lpstr>
      <vt:lpstr>2_Бюджет</vt:lpstr>
      <vt:lpstr>3_Здания</vt:lpstr>
      <vt:lpstr>4_ПСД</vt:lpstr>
      <vt:lpstr>5_Оборуд</vt:lpstr>
      <vt:lpstr>5-1_ЛК</vt:lpstr>
      <vt:lpstr>5-2_ЦГ</vt:lpstr>
      <vt:lpstr>5-3_Скв-ны</vt:lpstr>
      <vt:lpstr>6_МБ_ЛК_Ку-за</vt:lpstr>
      <vt:lpstr>7_Выручка</vt:lpstr>
      <vt:lpstr>8_Цены_ГП</vt:lpstr>
      <vt:lpstr>8-1_ЛК</vt:lpstr>
      <vt:lpstr>9_Пр-во</vt:lpstr>
      <vt:lpstr>10_К-ция_ЛК</vt:lpstr>
      <vt:lpstr>10-1_К-ция_ПП</vt:lpstr>
      <vt:lpstr>11_Цены_СиМ</vt:lpstr>
      <vt:lpstr>11-1_Ку-за</vt:lpstr>
      <vt:lpstr>12_ФОТ</vt:lpstr>
      <vt:lpstr>13_Пост. Расх.</vt:lpstr>
      <vt:lpstr>14_ПР_дин</vt:lpstr>
      <vt:lpstr>15_Пер. Расх_дин</vt:lpstr>
      <vt:lpstr>16_Кредит</vt:lpstr>
      <vt:lpstr>17_ПДДС</vt:lpstr>
      <vt:lpstr>18_График</vt:lpstr>
      <vt:lpstr>19_Эффект</vt:lpstr>
      <vt:lpstr>Расх_дин</vt:lpstr>
      <vt:lpstr>Закуп_Зерна</vt:lpstr>
      <vt:lpstr>20_Tax</vt:lpstr>
      <vt:lpstr>20-1_НДС</vt:lpstr>
      <vt:lpstr>20-2_ЗиВН</vt:lpstr>
      <vt:lpstr>Курс</vt:lpstr>
      <vt:lpstr>21_РЗ</vt:lpstr>
      <vt:lpstr>22_Ам-ция</vt:lpstr>
      <vt:lpstr>23_Эл-Эн</vt:lpstr>
      <vt:lpstr>23-1_Град</vt:lpstr>
      <vt:lpstr>23-2_Комп-р</vt:lpstr>
      <vt:lpstr>23-3_Эл-Эн_Т</vt:lpstr>
      <vt:lpstr>23-4_4 ЦК</vt:lpstr>
      <vt:lpstr>24_Газ_Итог</vt:lpstr>
      <vt:lpstr>24-1_Газ_Склад</vt:lpstr>
      <vt:lpstr>24-2_Газ_Сушка</vt:lpstr>
      <vt:lpstr>24-5_Газ_Т</vt:lpstr>
      <vt:lpstr>25_Пар</vt:lpstr>
      <vt:lpstr>26_Отопление</vt:lpstr>
      <vt:lpstr>27_Вода</vt:lpstr>
      <vt:lpstr>28_Кан-ция</vt:lpstr>
      <vt:lpstr>28-1_Ливневка</vt:lpstr>
      <vt:lpstr>28-2_Хоз-быт</vt:lpstr>
      <vt:lpstr>29_Логистика</vt:lpstr>
      <vt:lpstr>'17_ПДДС'!Заголовки_для_печати</vt:lpstr>
      <vt:lpstr>'7_Выручка'!Заголовки_для_печати</vt:lpstr>
      <vt:lpstr>'5-3_Скв-ны'!Область_печати</vt:lpstr>
      <vt:lpstr>Закуп_Зерна!Область_печати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Дизайнер2</dc:creator>
  <cp:lastModifiedBy>Груздев Александр</cp:lastModifiedBy>
  <cp:lastPrinted>2023-08-01T09:27:57Z</cp:lastPrinted>
  <dcterms:created xsi:type="dcterms:W3CDTF">2013-05-03T12:28:00Z</dcterms:created>
  <dcterms:modified xsi:type="dcterms:W3CDTF">2023-12-06T15:45:38Z</dcterms:modified>
</cp:coreProperties>
</file>